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ván\Desktop\Ana quintas\Actividades V1\Actividad 15\5_RRHH_M2_A15_ActividadPractica\"/>
    </mc:Choice>
  </mc:AlternateContent>
  <xr:revisionPtr revIDLastSave="0" documentId="13_ncr:1_{9C3A890D-A87F-410D-A3B3-118B2AFC0815}" xr6:coauthVersionLast="45" xr6:coauthVersionMax="45" xr10:uidLastSave="{00000000-0000-0000-0000-000000000000}"/>
  <bookViews>
    <workbookView xWindow="-120" yWindow="-120" windowWidth="29040" windowHeight="15840" xr2:uid="{6F681D18-1C37-4B1F-8B68-533DBBFC107E}"/>
  </bookViews>
  <sheets>
    <sheet name="Ingreso Datos" sheetId="2" r:id="rId1"/>
    <sheet name="base de datos" sheetId="1" state="veryHidden" r:id="rId2"/>
    <sheet name="liquidación de Sueldos" sheetId="3" r:id="rId3"/>
  </sheets>
  <definedNames>
    <definedName name="_xlnm.Print_Area" localSheetId="2">'liquidación de Sueldos'!$D$1:$H$58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4" i="3" l="1"/>
  <c r="E4" i="3"/>
  <c r="D3" i="3"/>
  <c r="S47" i="1" l="1"/>
  <c r="S49" i="1" s="1"/>
  <c r="S23" i="1" s="1"/>
  <c r="R24" i="1"/>
  <c r="T24" i="1"/>
  <c r="R25" i="1"/>
  <c r="T25" i="1"/>
  <c r="R26" i="1"/>
  <c r="T26" i="1"/>
  <c r="R27" i="1"/>
  <c r="T27" i="1"/>
  <c r="R28" i="1"/>
  <c r="T28" i="1"/>
  <c r="R29" i="1"/>
  <c r="T29" i="1"/>
  <c r="Q30" i="1"/>
  <c r="R30" i="1"/>
  <c r="T30" i="1"/>
  <c r="T23" i="1"/>
  <c r="R21" i="1"/>
  <c r="Q52" i="1" l="1"/>
  <c r="Q26" i="1" s="1"/>
  <c r="S55" i="1"/>
  <c r="S29" i="1" s="1"/>
  <c r="S51" i="1"/>
  <c r="S25" i="1" s="1"/>
  <c r="R49" i="1"/>
  <c r="R23" i="1" s="1"/>
  <c r="S52" i="1"/>
  <c r="S26" i="1" s="1"/>
  <c r="Q55" i="1"/>
  <c r="Q29" i="1" s="1"/>
  <c r="S54" i="1"/>
  <c r="S28" i="1" s="1"/>
  <c r="Q54" i="1"/>
  <c r="Q28" i="1" s="1"/>
  <c r="Q50" i="1"/>
  <c r="Q24" i="1" s="1"/>
  <c r="Q53" i="1"/>
  <c r="Q27" i="1" s="1"/>
  <c r="S56" i="1"/>
  <c r="S30" i="1" s="1"/>
  <c r="Q51" i="1"/>
  <c r="Q25" i="1" s="1"/>
  <c r="S50" i="1"/>
  <c r="S24" i="1" s="1"/>
  <c r="S53" i="1"/>
  <c r="S27" i="1" s="1"/>
  <c r="G36" i="1" l="1"/>
  <c r="G25" i="1"/>
  <c r="B25" i="1"/>
  <c r="F18" i="3"/>
  <c r="G10" i="1"/>
  <c r="G14" i="3" s="1"/>
  <c r="B10" i="1"/>
  <c r="D14" i="3" s="1"/>
  <c r="D9" i="3"/>
  <c r="E44" i="1"/>
  <c r="E55" i="3" s="1"/>
  <c r="E43" i="1"/>
  <c r="E54" i="3" s="1"/>
  <c r="D12" i="3"/>
  <c r="G9" i="1"/>
  <c r="G12" i="3" s="1"/>
  <c r="G6" i="1"/>
  <c r="G9" i="3" s="1"/>
  <c r="D21" i="3" l="1"/>
  <c r="G21" i="3"/>
  <c r="Q6" i="1"/>
  <c r="Q7" i="1"/>
  <c r="Q8" i="1"/>
  <c r="Q9" i="1"/>
  <c r="Q13" i="1"/>
  <c r="Q14" i="1"/>
  <c r="Q5" i="1"/>
  <c r="P6" i="1"/>
  <c r="P7" i="1"/>
  <c r="P8" i="1"/>
  <c r="P9" i="1"/>
  <c r="P13" i="1"/>
  <c r="P14" i="1"/>
  <c r="P5" i="1"/>
  <c r="F7" i="3"/>
  <c r="F8" i="3"/>
  <c r="F10" i="3"/>
  <c r="G46" i="3"/>
  <c r="D46" i="3"/>
  <c r="G45" i="3"/>
  <c r="D45" i="3"/>
  <c r="D44" i="3"/>
  <c r="D43" i="3"/>
  <c r="G47" i="3" l="1"/>
  <c r="D26" i="1"/>
  <c r="P42" i="1"/>
  <c r="P43" i="1"/>
  <c r="P41" i="1"/>
  <c r="J3" i="2"/>
  <c r="R47" i="1"/>
  <c r="Q47" i="1"/>
  <c r="Q21" i="1" s="1"/>
  <c r="C4" i="1" l="1"/>
  <c r="D16" i="1"/>
  <c r="D15" i="1"/>
  <c r="F15" i="1" s="1"/>
  <c r="F33" i="3" s="1"/>
  <c r="C6" i="2"/>
  <c r="B37" i="1"/>
  <c r="G37" i="1"/>
  <c r="D75" i="1" s="1"/>
  <c r="G32" i="1"/>
  <c r="G33" i="1"/>
  <c r="G34" i="1"/>
  <c r="D74" i="1" s="1"/>
  <c r="B32" i="1"/>
  <c r="B33" i="1"/>
  <c r="B34" i="1"/>
  <c r="G31" i="1"/>
  <c r="B31" i="1"/>
  <c r="C27" i="1"/>
  <c r="C28" i="1"/>
  <c r="D5" i="1"/>
  <c r="F4" i="1"/>
  <c r="D27" i="1" s="1"/>
  <c r="D28" i="1" s="1"/>
  <c r="D7" i="1"/>
  <c r="F7" i="1"/>
  <c r="D8" i="1"/>
  <c r="F8" i="1"/>
  <c r="D18" i="1"/>
  <c r="D19" i="1"/>
  <c r="F19" i="1" s="1"/>
  <c r="F37" i="3" s="1"/>
  <c r="L3" i="1"/>
  <c r="L5" i="1" s="1"/>
  <c r="L7" i="1" s="1"/>
  <c r="L9" i="1" s="1"/>
  <c r="L14" i="1" s="1"/>
  <c r="L24" i="1"/>
  <c r="L19" i="1"/>
  <c r="M15" i="1" s="1"/>
  <c r="L18" i="1"/>
  <c r="D17" i="1"/>
  <c r="C60" i="1"/>
  <c r="L55" i="1"/>
  <c r="P56" i="1"/>
  <c r="P30" i="1" s="1"/>
  <c r="K30" i="1"/>
  <c r="J30" i="1"/>
  <c r="P55" i="1"/>
  <c r="P29" i="1" s="1"/>
  <c r="P54" i="1"/>
  <c r="P28" i="1" s="1"/>
  <c r="P53" i="1"/>
  <c r="P27" i="1" s="1"/>
  <c r="P52" i="1"/>
  <c r="P26" i="1" s="1"/>
  <c r="E26" i="1"/>
  <c r="G26" i="1" s="1"/>
  <c r="G18" i="3" s="1"/>
  <c r="L30" i="1"/>
  <c r="P51" i="1"/>
  <c r="P25" i="1" s="1"/>
  <c r="P50" i="1"/>
  <c r="P24" i="1" s="1"/>
  <c r="Q49" i="1"/>
  <c r="Q23" i="1" s="1"/>
  <c r="P49" i="1"/>
  <c r="P23" i="1" s="1"/>
  <c r="B17" i="1" l="1"/>
  <c r="D35" i="3" s="1"/>
  <c r="E16" i="1"/>
  <c r="F16" i="1"/>
  <c r="F34" i="3" s="1"/>
  <c r="E15" i="1"/>
  <c r="E33" i="3" s="1"/>
  <c r="G38" i="1"/>
  <c r="D73" i="1"/>
  <c r="E19" i="1"/>
  <c r="D45" i="1" s="1"/>
  <c r="E45" i="1" s="1"/>
  <c r="E56" i="3" s="1"/>
  <c r="G4" i="1"/>
  <c r="G7" i="1"/>
  <c r="G28" i="1"/>
  <c r="L25" i="1"/>
  <c r="C19" i="1" s="1"/>
  <c r="C45" i="1" s="1"/>
  <c r="K45" i="1"/>
  <c r="L45" i="1" s="1"/>
  <c r="E17" i="1"/>
  <c r="E18" i="1" s="1"/>
  <c r="G18" i="1" s="1"/>
  <c r="L20" i="1"/>
  <c r="M18" i="1" s="1"/>
  <c r="C64" i="1"/>
  <c r="G27" i="1"/>
  <c r="G29" i="1" l="1"/>
  <c r="C65" i="1"/>
  <c r="G19" i="3"/>
  <c r="G7" i="3"/>
  <c r="D70" i="1"/>
  <c r="G36" i="3"/>
  <c r="C66" i="1"/>
  <c r="G20" i="3"/>
  <c r="G8" i="1"/>
  <c r="G10" i="3"/>
  <c r="C58" i="1"/>
  <c r="F17" i="1"/>
  <c r="C61" i="1"/>
  <c r="K46" i="1"/>
  <c r="K47" i="1" s="1"/>
  <c r="L47" i="1" s="1"/>
  <c r="C15" i="1"/>
  <c r="C16" i="1" s="1"/>
  <c r="I8" i="1" l="1"/>
  <c r="G5" i="1"/>
  <c r="G24" i="3"/>
  <c r="C62" i="1"/>
  <c r="G11" i="3"/>
  <c r="L46" i="1"/>
  <c r="C43" i="1"/>
  <c r="C44" i="1" s="1"/>
  <c r="G8" i="3" l="1"/>
  <c r="C59" i="1"/>
  <c r="C11" i="1"/>
  <c r="E11" i="1" s="1"/>
  <c r="L16" i="1"/>
  <c r="M13" i="1" s="1"/>
  <c r="G11" i="1" l="1"/>
  <c r="G13" i="3" l="1"/>
  <c r="C63" i="1"/>
  <c r="G13" i="1"/>
  <c r="G15" i="3" s="1"/>
  <c r="G19" i="1" l="1"/>
  <c r="G15" i="1"/>
  <c r="G43" i="1"/>
  <c r="G45" i="1"/>
  <c r="I15" i="1"/>
  <c r="G44" i="1"/>
  <c r="G16" i="1"/>
  <c r="I16" i="1"/>
  <c r="G26" i="3"/>
  <c r="G46" i="1" l="1"/>
  <c r="G54" i="3"/>
  <c r="C77" i="1"/>
  <c r="G56" i="3"/>
  <c r="C79" i="1"/>
  <c r="D82" i="1" s="1"/>
  <c r="D67" i="1"/>
  <c r="G33" i="3"/>
  <c r="I17" i="1"/>
  <c r="G17" i="1" s="1"/>
  <c r="G20" i="1" s="1"/>
  <c r="G34" i="3"/>
  <c r="D68" i="1"/>
  <c r="G55" i="3"/>
  <c r="C78" i="1"/>
  <c r="D81" i="1" s="1"/>
  <c r="G37" i="3"/>
  <c r="D71" i="1"/>
  <c r="G22" i="1" l="1"/>
  <c r="Q17" i="1" s="1"/>
  <c r="D80" i="1"/>
  <c r="C83" i="1"/>
  <c r="G35" i="3"/>
  <c r="G38" i="3" s="1"/>
  <c r="D69" i="1"/>
  <c r="G57" i="3"/>
  <c r="G48" i="1"/>
  <c r="Q18" i="1" l="1"/>
  <c r="T18" i="1" s="1"/>
  <c r="U18" i="1" s="1"/>
  <c r="X27" i="1" s="1"/>
  <c r="W20" i="1"/>
  <c r="W26" i="1" s="1"/>
  <c r="AA26" i="1" s="1"/>
  <c r="X26" i="1" s="1"/>
  <c r="T17" i="1"/>
  <c r="I22" i="1"/>
  <c r="G28" i="3"/>
  <c r="I29" i="1"/>
  <c r="G58" i="3"/>
  <c r="I38" i="1"/>
  <c r="I13" i="1"/>
  <c r="I46" i="1"/>
  <c r="I20" i="1"/>
  <c r="X28" i="1" l="1"/>
  <c r="G24" i="1" s="1"/>
  <c r="D72" i="1" l="1"/>
  <c r="G40" i="3"/>
  <c r="G40" i="1"/>
  <c r="G39" i="1"/>
  <c r="G49" i="3" l="1"/>
  <c r="G51" i="3" s="1"/>
  <c r="I40" i="1"/>
  <c r="D76" i="1"/>
  <c r="D8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Iván</author>
  </authors>
  <commentList>
    <comment ref="B6" authorId="0" shapeId="0" xr:uid="{C680BA6C-671D-4B1D-B756-518DB77A139B}">
      <text>
        <r>
          <rPr>
            <b/>
            <sz val="9"/>
            <color indexed="81"/>
            <rFont val="Tahoma"/>
            <family val="2"/>
          </rPr>
          <t>Iván:</t>
        </r>
        <r>
          <rPr>
            <sz val="9"/>
            <color indexed="81"/>
            <rFont val="Tahoma"/>
            <family val="2"/>
          </rPr>
          <t xml:space="preserve">
Digite el Código de la AFP</t>
        </r>
      </text>
    </comment>
    <comment ref="B8" authorId="0" shapeId="0" xr:uid="{FFEDB569-BC65-4BD5-A703-2E62593BF4E2}">
      <text>
        <r>
          <rPr>
            <b/>
            <sz val="9"/>
            <color indexed="81"/>
            <rFont val="Tahoma"/>
            <family val="2"/>
          </rPr>
          <t>Iván:</t>
        </r>
        <r>
          <rPr>
            <sz val="9"/>
            <color indexed="81"/>
            <rFont val="Tahoma"/>
            <family val="2"/>
          </rPr>
          <t xml:space="preserve">
Digite 1 para FONASA
Digite 2 para Isapre</t>
        </r>
      </text>
    </comment>
    <comment ref="B10" authorId="0" shapeId="0" xr:uid="{1AB78037-CA2C-4B90-A8E2-D2D1AC830333}">
      <text>
        <r>
          <rPr>
            <b/>
            <sz val="9"/>
            <color indexed="81"/>
            <rFont val="Tahoma"/>
            <family val="2"/>
          </rPr>
          <t>Iván:</t>
        </r>
        <r>
          <rPr>
            <sz val="9"/>
            <color indexed="81"/>
            <rFont val="Tahoma"/>
            <family val="2"/>
          </rPr>
          <t xml:space="preserve">
Ingrese el valor en UF del plan
</t>
        </r>
      </text>
    </comment>
    <comment ref="B11" authorId="0" shapeId="0" xr:uid="{8245BD0B-EDE1-47CE-A538-2094EB5BC339}">
      <text>
        <r>
          <rPr>
            <b/>
            <sz val="9"/>
            <color indexed="81"/>
            <rFont val="Tahoma"/>
            <family val="2"/>
          </rPr>
          <t>Iván:</t>
        </r>
        <r>
          <rPr>
            <sz val="9"/>
            <color indexed="81"/>
            <rFont val="Tahoma"/>
            <family val="2"/>
          </rPr>
          <t xml:space="preserve">
Inserte el valor solo en UF</t>
        </r>
      </text>
    </comment>
    <comment ref="B12" authorId="0" shapeId="0" xr:uid="{614F7B6A-7A49-470D-B93C-2F929372049F}">
      <text>
        <r>
          <rPr>
            <b/>
            <sz val="9"/>
            <color indexed="81"/>
            <rFont val="Tahoma"/>
            <family val="2"/>
          </rPr>
          <t>Iván:</t>
        </r>
        <r>
          <rPr>
            <sz val="9"/>
            <color indexed="81"/>
            <rFont val="Tahoma"/>
            <family val="2"/>
          </rPr>
          <t xml:space="preserve">
Digite de acuerdo al tipo de contrato.
2= Indefinido, 1 = otro tipo CT</t>
        </r>
      </text>
    </comment>
    <comment ref="B13" authorId="0" shapeId="0" xr:uid="{59A42C74-664E-4BA6-9BC1-6CB7443F4C57}">
      <text>
        <r>
          <rPr>
            <b/>
            <sz val="9"/>
            <color indexed="81"/>
            <rFont val="Tahoma"/>
            <family val="2"/>
          </rPr>
          <t>Iván:</t>
        </r>
        <r>
          <rPr>
            <sz val="9"/>
            <color indexed="81"/>
            <rFont val="Tahoma"/>
            <family val="2"/>
          </rPr>
          <t xml:space="preserve">
Ingrese el porcentaje de la comisión pactada si existe.</t>
        </r>
      </text>
    </comment>
    <comment ref="B14" authorId="0" shapeId="0" xr:uid="{834D5383-7886-4E89-8EB7-9E07B0682D6C}">
      <text>
        <r>
          <rPr>
            <b/>
            <sz val="9"/>
            <color indexed="81"/>
            <rFont val="Tahoma"/>
            <family val="2"/>
          </rPr>
          <t>Iván:</t>
        </r>
        <r>
          <rPr>
            <sz val="9"/>
            <color indexed="81"/>
            <rFont val="Tahoma"/>
            <family val="2"/>
          </rPr>
          <t xml:space="preserve">
Indique los días trabajados en el mes del trabajador</t>
        </r>
      </text>
    </comment>
    <comment ref="B15" authorId="0" shapeId="0" xr:uid="{44CBF36D-718A-441A-B3F6-A2FE8E6FE86F}">
      <text>
        <r>
          <rPr>
            <b/>
            <sz val="9"/>
            <color indexed="81"/>
            <rFont val="Tahoma"/>
            <family val="2"/>
          </rPr>
          <t>Iván:</t>
        </r>
        <r>
          <rPr>
            <sz val="9"/>
            <color indexed="81"/>
            <rFont val="Tahoma"/>
            <family val="2"/>
          </rPr>
          <t xml:space="preserve">
Ingrese el valor pactado del Sueldo Pactado</t>
        </r>
      </text>
    </comment>
    <comment ref="B18" authorId="0" shapeId="0" xr:uid="{A6B083F3-0A43-4E2D-B82D-51C821C521E4}">
      <text>
        <r>
          <rPr>
            <b/>
            <sz val="9"/>
            <color indexed="81"/>
            <rFont val="Tahoma"/>
            <family val="2"/>
          </rPr>
          <t>Iván:</t>
        </r>
        <r>
          <rPr>
            <sz val="9"/>
            <color indexed="81"/>
            <rFont val="Tahoma"/>
            <family val="2"/>
          </rPr>
          <t xml:space="preserve">
Ingrese el valor del bono de producción si existe 
</t>
        </r>
      </text>
    </comment>
    <comment ref="B19" authorId="0" shapeId="0" xr:uid="{2CA1F75B-E6A6-4D34-9FEE-4061F400035A}">
      <text>
        <r>
          <rPr>
            <b/>
            <sz val="9"/>
            <color indexed="81"/>
            <rFont val="Tahoma"/>
            <family val="2"/>
          </rPr>
          <t>Iván:</t>
        </r>
        <r>
          <rPr>
            <sz val="9"/>
            <color indexed="81"/>
            <rFont val="Tahoma"/>
            <family val="2"/>
          </rPr>
          <t xml:space="preserve">
Ingrese el valor del aguinaldo pactado</t>
        </r>
      </text>
    </comment>
    <comment ref="A20" authorId="0" shapeId="0" xr:uid="{4BFADB67-38B0-4420-A90F-3DA30CAEF007}">
      <text>
        <r>
          <rPr>
            <b/>
            <sz val="9"/>
            <color indexed="81"/>
            <rFont val="Tahoma"/>
            <family val="2"/>
          </rPr>
          <t>Iván:</t>
        </r>
        <r>
          <rPr>
            <sz val="9"/>
            <color indexed="81"/>
            <rFont val="Tahoma"/>
            <family val="2"/>
          </rPr>
          <t xml:space="preserve">
Ingrese el nombre del haber</t>
        </r>
      </text>
    </comment>
    <comment ref="B20" authorId="0" shapeId="0" xr:uid="{98C3A2FE-9FD0-4956-B943-6749106DF37A}">
      <text>
        <r>
          <rPr>
            <b/>
            <sz val="9"/>
            <color indexed="81"/>
            <rFont val="Tahoma"/>
            <family val="2"/>
          </rPr>
          <t>Iván:</t>
        </r>
        <r>
          <rPr>
            <sz val="9"/>
            <color indexed="81"/>
            <rFont val="Tahoma"/>
            <family val="2"/>
          </rPr>
          <t xml:space="preserve">
Ingrese el valor del haber</t>
        </r>
      </text>
    </comment>
    <comment ref="B21" authorId="0" shapeId="0" xr:uid="{A700D924-5BF8-465A-82E7-5D93583A7030}">
      <text>
        <r>
          <rPr>
            <b/>
            <sz val="9"/>
            <color indexed="81"/>
            <rFont val="Tahoma"/>
            <family val="2"/>
          </rPr>
          <t>Iván:</t>
        </r>
        <r>
          <rPr>
            <sz val="9"/>
            <color indexed="81"/>
            <rFont val="Tahoma"/>
            <family val="2"/>
          </rPr>
          <t xml:space="preserve">
Ingrese el valor de las horas extras al 50% realizadas en el mes del trabajador</t>
        </r>
      </text>
    </comment>
    <comment ref="A22" authorId="0" shapeId="0" xr:uid="{D94E7C23-8EA1-4942-A8BA-36FC58CD566E}">
      <text>
        <r>
          <rPr>
            <b/>
            <sz val="9"/>
            <color indexed="81"/>
            <rFont val="Tahoma"/>
            <family val="2"/>
          </rPr>
          <t>Iván:</t>
        </r>
        <r>
          <rPr>
            <sz val="9"/>
            <color indexed="81"/>
            <rFont val="Tahoma"/>
            <family val="2"/>
          </rPr>
          <t xml:space="preserve">
Digite el nombre del haber
</t>
        </r>
      </text>
    </comment>
    <comment ref="B22" authorId="0" shapeId="0" xr:uid="{36104BDE-A15A-45EE-9D76-FA9A01285300}">
      <text>
        <r>
          <rPr>
            <b/>
            <sz val="9"/>
            <color indexed="81"/>
            <rFont val="Tahoma"/>
            <family val="2"/>
          </rPr>
          <t>Iván:</t>
        </r>
        <r>
          <rPr>
            <sz val="9"/>
            <color indexed="81"/>
            <rFont val="Tahoma"/>
            <family val="2"/>
          </rPr>
          <t xml:space="preserve">
Ingrese el valor del Haber</t>
        </r>
      </text>
    </comment>
    <comment ref="B24" authorId="0" shapeId="0" xr:uid="{A86D7D4B-6547-42EC-A3D3-A39AADA37793}">
      <text>
        <r>
          <rPr>
            <b/>
            <sz val="9"/>
            <color indexed="81"/>
            <rFont val="Tahoma"/>
            <family val="2"/>
          </rPr>
          <t>Iván:</t>
        </r>
        <r>
          <rPr>
            <sz val="9"/>
            <color indexed="81"/>
            <rFont val="Tahoma"/>
            <family val="2"/>
          </rPr>
          <t xml:space="preserve">
Ingrese el valor pactado de Movilización en Contrato del Trabajo</t>
        </r>
      </text>
    </comment>
    <comment ref="B25" authorId="0" shapeId="0" xr:uid="{27E2469E-3301-4AD7-AA94-EA3F9819C775}">
      <text>
        <r>
          <rPr>
            <b/>
            <sz val="9"/>
            <color indexed="81"/>
            <rFont val="Tahoma"/>
            <family val="2"/>
          </rPr>
          <t>Iván:</t>
        </r>
        <r>
          <rPr>
            <sz val="9"/>
            <color indexed="81"/>
            <rFont val="Tahoma"/>
            <family val="2"/>
          </rPr>
          <t xml:space="preserve">
ingrese el valor pactado de Colación en Contrato del Trabajo</t>
        </r>
      </text>
    </comment>
    <comment ref="B26" authorId="0" shapeId="0" xr:uid="{CB150C89-8EC2-43B5-A651-404E07BA9391}">
      <text>
        <r>
          <rPr>
            <b/>
            <sz val="9"/>
            <color indexed="81"/>
            <rFont val="Tahoma"/>
            <family val="2"/>
          </rPr>
          <t>Iván:</t>
        </r>
        <r>
          <rPr>
            <sz val="9"/>
            <color indexed="81"/>
            <rFont val="Tahoma"/>
            <family val="2"/>
          </rPr>
          <t xml:space="preserve">
ingrese el valor pactado de Viatico en Contrato del Trabajo</t>
        </r>
      </text>
    </comment>
    <comment ref="A27" authorId="0" shapeId="0" xr:uid="{B018C23F-6CBD-474F-9BB3-12A2C3A461F6}">
      <text>
        <r>
          <rPr>
            <b/>
            <sz val="9"/>
            <color indexed="81"/>
            <rFont val="Tahoma"/>
            <family val="2"/>
          </rPr>
          <t>Iván:</t>
        </r>
        <r>
          <rPr>
            <sz val="9"/>
            <color indexed="81"/>
            <rFont val="Tahoma"/>
            <family val="2"/>
          </rPr>
          <t xml:space="preserve">
Digite el nombre del haber</t>
        </r>
      </text>
    </comment>
    <comment ref="B27" authorId="0" shapeId="0" xr:uid="{86345A97-3FF2-4196-8DA7-951EE7DEBC6D}">
      <text>
        <r>
          <rPr>
            <b/>
            <sz val="9"/>
            <color indexed="81"/>
            <rFont val="Tahoma"/>
            <family val="2"/>
          </rPr>
          <t>Iván:</t>
        </r>
        <r>
          <rPr>
            <sz val="9"/>
            <color indexed="81"/>
            <rFont val="Tahoma"/>
            <family val="2"/>
          </rPr>
          <t xml:space="preserve">
Ingrese el valor del Haber para el mes</t>
        </r>
      </text>
    </comment>
    <comment ref="B30" authorId="0" shapeId="0" xr:uid="{B4A4C0B3-7A32-473F-90A4-21A13717FC3B}">
      <text>
        <r>
          <rPr>
            <b/>
            <sz val="9"/>
            <color indexed="81"/>
            <rFont val="Tahoma"/>
            <family val="2"/>
          </rPr>
          <t>Iván:</t>
        </r>
        <r>
          <rPr>
            <sz val="9"/>
            <color indexed="81"/>
            <rFont val="Tahoma"/>
            <family val="2"/>
          </rPr>
          <t xml:space="preserve">
Ingrese el valor otorgado de anticipo del mes</t>
        </r>
      </text>
    </comment>
    <comment ref="B31" authorId="0" shapeId="0" xr:uid="{523C4606-FB4E-440F-A445-E6DAFD6E707D}">
      <text>
        <r>
          <rPr>
            <b/>
            <sz val="9"/>
            <color indexed="81"/>
            <rFont val="Tahoma"/>
            <family val="2"/>
          </rPr>
          <t>Iván:</t>
        </r>
        <r>
          <rPr>
            <sz val="9"/>
            <color indexed="81"/>
            <rFont val="Tahoma"/>
            <family val="2"/>
          </rPr>
          <t xml:space="preserve">
Ingrese el valor del descuento para el mes</t>
        </r>
      </text>
    </comment>
    <comment ref="B32" authorId="0" shapeId="0" xr:uid="{9853D905-7EC2-4A5B-8CFE-18728B4AF56C}">
      <text>
        <r>
          <rPr>
            <b/>
            <sz val="9"/>
            <color indexed="81"/>
            <rFont val="Tahoma"/>
            <family val="2"/>
          </rPr>
          <t>Iván:</t>
        </r>
        <r>
          <rPr>
            <sz val="9"/>
            <color indexed="81"/>
            <rFont val="Tahoma"/>
            <family val="2"/>
          </rPr>
          <t xml:space="preserve">
Ingrese el valor del descuento para el mes</t>
        </r>
      </text>
    </comment>
    <comment ref="B33" authorId="0" shapeId="0" xr:uid="{8150704D-7922-4EAE-8DF1-D0350EE682B4}">
      <text>
        <r>
          <rPr>
            <b/>
            <sz val="9"/>
            <color indexed="81"/>
            <rFont val="Tahoma"/>
            <family val="2"/>
          </rPr>
          <t>Iván:</t>
        </r>
        <r>
          <rPr>
            <sz val="9"/>
            <color indexed="81"/>
            <rFont val="Tahoma"/>
            <family val="2"/>
          </rPr>
          <t xml:space="preserve">
Ingrese el valor del descuento para el mes</t>
        </r>
      </text>
    </comment>
    <comment ref="A34" authorId="0" shapeId="0" xr:uid="{7681C2AB-9915-472F-9856-510A790CBA00}">
      <text>
        <r>
          <rPr>
            <b/>
            <sz val="9"/>
            <color indexed="81"/>
            <rFont val="Tahoma"/>
            <family val="2"/>
          </rPr>
          <t>Iván:</t>
        </r>
        <r>
          <rPr>
            <sz val="9"/>
            <color indexed="81"/>
            <rFont val="Tahoma"/>
            <family val="2"/>
          </rPr>
          <t xml:space="preserve">
Digite el nombre del descuento</t>
        </r>
      </text>
    </comment>
    <comment ref="B34" authorId="0" shapeId="0" xr:uid="{7A00D1A3-B860-4A57-9871-FE78A80A93B2}">
      <text>
        <r>
          <rPr>
            <b/>
            <sz val="9"/>
            <color indexed="81"/>
            <rFont val="Tahoma"/>
            <family val="2"/>
          </rPr>
          <t>Iván:</t>
        </r>
        <r>
          <rPr>
            <sz val="9"/>
            <color indexed="81"/>
            <rFont val="Tahoma"/>
            <family val="2"/>
          </rPr>
          <t xml:space="preserve">
Ingrese el valor del descuento para el mes</t>
        </r>
      </text>
    </comment>
  </commentList>
</comments>
</file>

<file path=xl/sharedStrings.xml><?xml version="1.0" encoding="utf-8"?>
<sst xmlns="http://schemas.openxmlformats.org/spreadsheetml/2006/main" count="370" uniqueCount="230">
  <si>
    <t>LIQUIDACION DE SUELDO</t>
  </si>
  <si>
    <t>Conceptos</t>
  </si>
  <si>
    <t>Variable I</t>
  </si>
  <si>
    <t>Variable II</t>
  </si>
  <si>
    <t>Variable III</t>
  </si>
  <si>
    <t>Variable IV</t>
  </si>
  <si>
    <t>MONTOS</t>
  </si>
  <si>
    <t>SML (Sueldo Minimo Legal)</t>
  </si>
  <si>
    <t>( + )</t>
  </si>
  <si>
    <t>Sueldo Base</t>
  </si>
  <si>
    <t>Nº Dias Trabajados</t>
  </si>
  <si>
    <t>Tabla de AFP</t>
  </si>
  <si>
    <t>Horas Extras</t>
  </si>
  <si>
    <t>Nº Horas</t>
  </si>
  <si>
    <t>Tope Anual Gratificacion</t>
  </si>
  <si>
    <t>Capital</t>
  </si>
  <si>
    <t>Bono</t>
  </si>
  <si>
    <t>Cuprum</t>
  </si>
  <si>
    <t>Comision</t>
  </si>
  <si>
    <t>Venta</t>
  </si>
  <si>
    <t>% Comision</t>
  </si>
  <si>
    <t>Tope Gratificacion Legal Mensual</t>
  </si>
  <si>
    <t>Habitat</t>
  </si>
  <si>
    <t>Semana Corrida</t>
  </si>
  <si>
    <t>Nº Dia Habil</t>
  </si>
  <si>
    <t>Nº Dom y Festivo</t>
  </si>
  <si>
    <t>PlanVital</t>
  </si>
  <si>
    <t>Gratificacion Legal Garantizada - Articulo Nº 50 Codigo del Trabajo</t>
  </si>
  <si>
    <t>ProVida</t>
  </si>
  <si>
    <t>( = )</t>
  </si>
  <si>
    <t>Total Imponible</t>
  </si>
  <si>
    <t>Modelo</t>
  </si>
  <si>
    <t>( - )</t>
  </si>
  <si>
    <t>AFP (Tope 74,3 UF)</t>
  </si>
  <si>
    <t>AFP</t>
  </si>
  <si>
    <t>Salud (Tope 74,3 UF)</t>
  </si>
  <si>
    <t>Base  Calculo para Gratificacion</t>
  </si>
  <si>
    <t>Fonasa</t>
  </si>
  <si>
    <t>No Hay Plan de Salud</t>
  </si>
  <si>
    <t xml:space="preserve">( - ) </t>
  </si>
  <si>
    <t>APV en ( UF ó $ )</t>
  </si>
  <si>
    <t>Seguro Cesantia (Tope 111,4 UF)</t>
  </si>
  <si>
    <t>Tope Imponible UF</t>
  </si>
  <si>
    <t>Tipo Contrato</t>
  </si>
  <si>
    <t>Indefinido</t>
  </si>
  <si>
    <r>
      <rPr>
        <b/>
        <sz val="11"/>
        <color indexed="9"/>
        <rFont val="Calibri"/>
        <family val="2"/>
      </rPr>
      <t>Total Imposiciones</t>
    </r>
    <r>
      <rPr>
        <sz val="11"/>
        <color indexed="9"/>
        <rFont val="Calibri"/>
        <family val="2"/>
      </rPr>
      <t xml:space="preserve"> - Leyes Sociales - Cotizaciones Previsionales</t>
    </r>
  </si>
  <si>
    <t>Tope Imponible en $</t>
  </si>
  <si>
    <t>Tabla Impuesto Unico</t>
  </si>
  <si>
    <t>UTM</t>
  </si>
  <si>
    <t xml:space="preserve">Mes </t>
  </si>
  <si>
    <t>Agosto</t>
  </si>
  <si>
    <t>Isapre</t>
  </si>
  <si>
    <t>Tramo N°</t>
  </si>
  <si>
    <t>Desde</t>
  </si>
  <si>
    <t>Hasta</t>
  </si>
  <si>
    <t>Factor</t>
  </si>
  <si>
    <t>Rebaja</t>
  </si>
  <si>
    <t>Exento</t>
  </si>
  <si>
    <t>Plan de Salud en UF - Adicional Isapre</t>
  </si>
  <si>
    <r>
      <rPr>
        <b/>
        <sz val="11"/>
        <color indexed="9"/>
        <rFont val="Calibri"/>
        <family val="2"/>
      </rPr>
      <t>Impuesto Unico</t>
    </r>
    <r>
      <rPr>
        <sz val="11"/>
        <color indexed="9"/>
        <rFont val="Calibri"/>
        <family val="2"/>
      </rPr>
      <t xml:space="preserve"> ( Base Tributable ( * ) Factor ( = ) Resultado ( - ) Rebaja)</t>
    </r>
  </si>
  <si>
    <t>Tope Imponible Seguro Cesantia UF</t>
  </si>
  <si>
    <t>Tope Imponible Seguro Cesantia $</t>
  </si>
  <si>
    <t>Asignacion Familiar</t>
  </si>
  <si>
    <t xml:space="preserve">Tramo </t>
  </si>
  <si>
    <t>D</t>
  </si>
  <si>
    <t>Colacion</t>
  </si>
  <si>
    <t>Plazo Fijo</t>
  </si>
  <si>
    <t>Movilizacion</t>
  </si>
  <si>
    <t>Total No Imponible</t>
  </si>
  <si>
    <t>Tramo</t>
  </si>
  <si>
    <t>Y MAS</t>
  </si>
  <si>
    <t>MAS DE 19,55%</t>
  </si>
  <si>
    <t>Anticipo Sueldo</t>
  </si>
  <si>
    <t>Seguro Vida</t>
  </si>
  <si>
    <t>Prestamo CCAF</t>
  </si>
  <si>
    <t>Total Otros Descuentos</t>
  </si>
  <si>
    <r>
      <rPr>
        <b/>
        <sz val="11"/>
        <color indexed="9"/>
        <rFont val="Calibri"/>
        <family val="2"/>
      </rPr>
      <t>Liquido a Pagar</t>
    </r>
    <r>
      <rPr>
        <sz val="11"/>
        <color indexed="9"/>
        <rFont val="Calibri"/>
        <family val="2"/>
      </rPr>
      <t xml:space="preserve"> (Total Imponible ( - ) Total Imposiciones ( - ) Impuesto Unico ( + ) Total No Imponible ( - ) Total Otros Desctos)</t>
    </r>
  </si>
  <si>
    <t>Monto</t>
  </si>
  <si>
    <t>Requisitos</t>
  </si>
  <si>
    <t>(Total Imponible -Total Imposiciones - Impuesto Unico + Total No Imponible - Total Otros Descuentos)</t>
  </si>
  <si>
    <t>A</t>
  </si>
  <si>
    <t>Renta &lt; ó =$ 262.326</t>
  </si>
  <si>
    <t>B</t>
  </si>
  <si>
    <t>Renta &gt; $ 262.326 &lt; = $ 383.156</t>
  </si>
  <si>
    <t>SIS ( Seguro Invalidez Sobrevivencia) - AFP (Tope 74,3UF)</t>
  </si>
  <si>
    <t>C</t>
  </si>
  <si>
    <t>Renta &gt; $ 383.156 &lt; = 597.593</t>
  </si>
  <si>
    <t>Mutual (Seguro Acc. Del Trabajo y Trayecto) (Tope 74,3 UF)</t>
  </si>
  <si>
    <t>UF</t>
  </si>
  <si>
    <t>$</t>
  </si>
  <si>
    <t>Renta &gt; $ 597.593</t>
  </si>
  <si>
    <t>Seguro Cesantia - AFC (Tope 111,4 UF)</t>
  </si>
  <si>
    <t>Total Aporte Patronal</t>
  </si>
  <si>
    <r>
      <rPr>
        <b/>
        <sz val="11"/>
        <color indexed="9"/>
        <rFont val="Calibri"/>
        <family val="2"/>
      </rPr>
      <t xml:space="preserve">Costo Empresa </t>
    </r>
    <r>
      <rPr>
        <sz val="11"/>
        <color indexed="9"/>
        <rFont val="Calibri"/>
        <family val="2"/>
      </rPr>
      <t>( Total Imponible + Total No Imponible + Aporte Patronal)</t>
    </r>
  </si>
  <si>
    <t>AFC - Seguro Cesantia Aportes según Tipo Contrato Trabajo</t>
  </si>
  <si>
    <t>Trabajador</t>
  </si>
  <si>
    <t>Empleador</t>
  </si>
  <si>
    <t>Empleador 1,6%</t>
  </si>
  <si>
    <t>CENTRALIZACION CONTABLE</t>
  </si>
  <si>
    <t>Estado 0,8%</t>
  </si>
  <si>
    <t>CONCEPTOS</t>
  </si>
  <si>
    <t>DEBE</t>
  </si>
  <si>
    <t>HABER</t>
  </si>
  <si>
    <t>TIPO CUENTA</t>
  </si>
  <si>
    <t>Gasto</t>
  </si>
  <si>
    <t>Gratificacion Legal Garantizada - Articulo  50 Codigo del Trabajo</t>
  </si>
  <si>
    <t>Activo</t>
  </si>
  <si>
    <t>Pasivo</t>
  </si>
  <si>
    <t>Adicional de Salud</t>
  </si>
  <si>
    <t>Impuesto Unico</t>
  </si>
  <si>
    <t>Liquido a Pagar</t>
  </si>
  <si>
    <r>
      <t>SIS ( Seguro Invalidez Sobrevivencia) - AFP (Tope 74,3UF) -</t>
    </r>
    <r>
      <rPr>
        <b/>
        <sz val="11"/>
        <color indexed="10"/>
        <rFont val="Calibri"/>
        <family val="2"/>
      </rPr>
      <t xml:space="preserve"> Por Pagar</t>
    </r>
  </si>
  <si>
    <r>
      <t xml:space="preserve">Mutual (Seguro Acc. Del Trabajo y Trayecto) (Tope 74,3 UF) - </t>
    </r>
    <r>
      <rPr>
        <b/>
        <sz val="11"/>
        <color indexed="10"/>
        <rFont val="Calibri"/>
        <family val="2"/>
      </rPr>
      <t>Por Pagar</t>
    </r>
  </si>
  <si>
    <r>
      <t>Seguro Cesantia - AFC (Tope 111,4 UF) -</t>
    </r>
    <r>
      <rPr>
        <b/>
        <sz val="11"/>
        <color indexed="56"/>
        <rFont val="Calibri"/>
        <family val="2"/>
      </rPr>
      <t xml:space="preserve"> </t>
    </r>
    <r>
      <rPr>
        <b/>
        <sz val="11"/>
        <color indexed="10"/>
        <rFont val="Calibri"/>
        <family val="2"/>
      </rPr>
      <t>Por Pagar</t>
    </r>
  </si>
  <si>
    <t>TOTALES</t>
  </si>
  <si>
    <t>DATOS PARA LIQUIDACIÓN DE SUELDOS</t>
  </si>
  <si>
    <t>NOMBRE TRABAJADOR</t>
  </si>
  <si>
    <t>RUT</t>
  </si>
  <si>
    <t>SALUD</t>
  </si>
  <si>
    <t>1.-Fonasa</t>
  </si>
  <si>
    <t>2.-Isapre</t>
  </si>
  <si>
    <t>Plan Isapre</t>
  </si>
  <si>
    <t>UF al 31 Octubre 2020</t>
  </si>
  <si>
    <t>Valor UF ultimo día mes</t>
  </si>
  <si>
    <t>Tope AFP-Salud</t>
  </si>
  <si>
    <t>Tope Seg. Cesantía</t>
  </si>
  <si>
    <t>Coloque 1 para Fonasa</t>
  </si>
  <si>
    <t>Coloque 2 para isapres</t>
  </si>
  <si>
    <t>Sueldo Mínimo</t>
  </si>
  <si>
    <t>Tipo de contrato</t>
  </si>
  <si>
    <t>APV</t>
  </si>
  <si>
    <t>Valor en UF</t>
  </si>
  <si>
    <t>Uno</t>
  </si>
  <si>
    <t>Días domingos y festivos</t>
  </si>
  <si>
    <t>Comisión Vtas</t>
  </si>
  <si>
    <t>Ventas Netas</t>
  </si>
  <si>
    <t>N° Horas Extras</t>
  </si>
  <si>
    <t>Movilización</t>
  </si>
  <si>
    <t>Colación</t>
  </si>
  <si>
    <t>Descuentos varios</t>
  </si>
  <si>
    <t>Anticipo</t>
  </si>
  <si>
    <t>Descuento Farmacia</t>
  </si>
  <si>
    <t>Cuota sindical</t>
  </si>
  <si>
    <t>Crédito CCAF</t>
  </si>
  <si>
    <t>Valor UTM</t>
  </si>
  <si>
    <t>Sueldo base</t>
  </si>
  <si>
    <t xml:space="preserve">AFP </t>
  </si>
  <si>
    <t xml:space="preserve">Salud </t>
  </si>
  <si>
    <t xml:space="preserve">Seguro Cesantia </t>
  </si>
  <si>
    <t>ingresar % de comisión</t>
  </si>
  <si>
    <t>ingrese el sueldo pactado</t>
  </si>
  <si>
    <t>Haberes</t>
  </si>
  <si>
    <t>Ventas netas del mes</t>
  </si>
  <si>
    <t>mes correspondiente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</si>
  <si>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</si>
  <si>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</si>
  <si>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</si>
  <si>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</si>
  <si>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</si>
  <si>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</si>
  <si>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</si>
  <si>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</si>
  <si>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Septiembre</t>
  </si>
  <si>
    <t>Octubre</t>
  </si>
  <si>
    <t>Noviembre</t>
  </si>
  <si>
    <t>Diciembre</t>
  </si>
  <si>
    <t>año</t>
  </si>
  <si>
    <t>años</t>
  </si>
  <si>
    <t>valor UTM 2020</t>
  </si>
  <si>
    <t>Mes</t>
  </si>
  <si>
    <t>Renta &lt; ó =$ 342.346</t>
  </si>
  <si>
    <t>Renta &gt; $ 342.346 &lt; = $ 500.033</t>
  </si>
  <si>
    <t>Renta &gt; $ 500.033 &lt; = 779.882</t>
  </si>
  <si>
    <t>Renta &gt; $ 779.882</t>
  </si>
  <si>
    <t>Cargas familiares</t>
  </si>
  <si>
    <t>HABERES</t>
  </si>
  <si>
    <t>DESCUENTOS</t>
  </si>
  <si>
    <t>HABERES IMPONIBLES</t>
  </si>
  <si>
    <t>HABERES NO IMPONIBLES</t>
  </si>
  <si>
    <t>Bono Producción</t>
  </si>
  <si>
    <t>Ingresar si esta pactado</t>
  </si>
  <si>
    <t>Aguinaldo</t>
  </si>
  <si>
    <t>Aguinaldos</t>
  </si>
  <si>
    <t>Total Haberes</t>
  </si>
  <si>
    <t>Descuentos Previsionales</t>
  </si>
  <si>
    <r>
      <rPr>
        <b/>
        <sz val="11"/>
        <color indexed="9"/>
        <rFont val="Calibri"/>
        <family val="2"/>
      </rPr>
      <t>Impuesto Unico</t>
    </r>
    <r>
      <rPr>
        <sz val="11"/>
        <color indexed="9"/>
        <rFont val="Calibri"/>
        <family val="2"/>
      </rPr>
      <t xml:space="preserve"> </t>
    </r>
  </si>
  <si>
    <r>
      <rPr>
        <b/>
        <sz val="11"/>
        <color indexed="9"/>
        <rFont val="Calibri"/>
        <family val="2"/>
      </rPr>
      <t>Liquido a Pagar</t>
    </r>
    <r>
      <rPr>
        <sz val="11"/>
        <color indexed="9"/>
        <rFont val="Calibri"/>
        <family val="2"/>
      </rPr>
      <t xml:space="preserve"> </t>
    </r>
  </si>
  <si>
    <t>Total  Descuentos</t>
  </si>
  <si>
    <t>Total Descuentos</t>
  </si>
  <si>
    <t>Cotización Mutual</t>
  </si>
  <si>
    <t xml:space="preserve">SIS ( Seguro Invalidez Sobrevivencia) </t>
  </si>
  <si>
    <t xml:space="preserve">Mutual (Seguro Acc. Del Trabajo y Trayecto) </t>
  </si>
  <si>
    <r>
      <rPr>
        <b/>
        <sz val="11"/>
        <color indexed="9"/>
        <rFont val="Calibri"/>
        <family val="2"/>
      </rPr>
      <t>Base Tributable</t>
    </r>
    <r>
      <rPr>
        <sz val="11"/>
        <color indexed="9"/>
        <rFont val="Calibri"/>
        <family val="2"/>
      </rPr>
      <t xml:space="preserve"> (Total Imponible ( - ) Total Imposiciones </t>
    </r>
  </si>
  <si>
    <t>otros</t>
  </si>
  <si>
    <t>Haberes Imponibles</t>
  </si>
  <si>
    <t>Haberes No Imponibles</t>
  </si>
  <si>
    <r>
      <rPr>
        <b/>
        <sz val="11"/>
        <color indexed="9"/>
        <rFont val="Calibri"/>
        <family val="2"/>
      </rPr>
      <t>Base Tributable</t>
    </r>
    <r>
      <rPr>
        <sz val="11"/>
        <color indexed="9"/>
        <rFont val="Calibri"/>
        <family val="2"/>
      </rPr>
      <t xml:space="preserve"> </t>
    </r>
  </si>
  <si>
    <r>
      <rPr>
        <b/>
        <sz val="11"/>
        <color indexed="9"/>
        <rFont val="Calibri"/>
        <family val="2"/>
      </rPr>
      <t>Total Imposiciones</t>
    </r>
    <r>
      <rPr>
        <sz val="11"/>
        <color indexed="9"/>
        <rFont val="Calibri"/>
        <family val="2"/>
      </rPr>
      <t xml:space="preserve"> </t>
    </r>
  </si>
  <si>
    <t xml:space="preserve">Costo Empresa </t>
  </si>
  <si>
    <t>Descuentos Variable o otros descuentos</t>
  </si>
  <si>
    <t>Ingrese haber y monto</t>
  </si>
  <si>
    <t>TRAMO DE RENTA</t>
  </si>
  <si>
    <t>REBAJA IMPTO (-)</t>
  </si>
  <si>
    <t>IMPTO UNICO</t>
  </si>
  <si>
    <t>Ingrese descuento y monto</t>
  </si>
  <si>
    <t>Ingrese el N° horas extras</t>
  </si>
  <si>
    <t>Ingrese el monto otorgado</t>
  </si>
  <si>
    <t>Ingrese el valor pactado</t>
  </si>
  <si>
    <t>Nombre Trabajador o Trabajadora</t>
  </si>
  <si>
    <t>LIQUIDACIóN DE SUELDO</t>
  </si>
  <si>
    <t>Mes Liquidación</t>
  </si>
  <si>
    <t>Comisión</t>
  </si>
  <si>
    <t>Gratificación Legal Garantizada - Artículo Nº 50 Código del Trabajo</t>
  </si>
  <si>
    <t>Días Trabajados</t>
  </si>
  <si>
    <t>Asignación Familiar</t>
  </si>
  <si>
    <t>Viático</t>
  </si>
  <si>
    <t xml:space="preserve">Seguro Cesantía </t>
  </si>
  <si>
    <t xml:space="preserve">Seguro Cesantía - AFC </t>
  </si>
  <si>
    <t>1-9</t>
  </si>
  <si>
    <t>NN</t>
  </si>
  <si>
    <t>Mes de Cálculo</t>
  </si>
  <si>
    <t>Parámetros</t>
  </si>
  <si>
    <t>Código a Ingresar</t>
  </si>
  <si>
    <t>Hábitat</t>
  </si>
  <si>
    <t>2= Indefinido, 1 = otro tipo CT</t>
  </si>
  <si>
    <t>ingresar los días trabajados</t>
  </si>
  <si>
    <t>Días hábiles</t>
  </si>
  <si>
    <t>Ingrese Rut sin puntos y con guión</t>
  </si>
  <si>
    <t>Otras Variables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</si>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</sst>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$&quot;* #,##0_ ;_ &quot;$&quot;* \-#,##0_ ;_ &quot;$&quot;* &quot;-&quot;_ ;_ @_ "/>
    <numFmt numFmtId="164" formatCode="#,##0_ ;[Red]\-#,##0\ "/>
    <numFmt numFmtId="165" formatCode="#,##0.00_ ;[Red]\-#,##0.00\ "/>
    <numFmt numFmtId="166" formatCode="_ &quot;$&quot;* #,##0.00_ ;_ &quot;$&quot;* \-#,##0.00_ ;_ &quot;$&quot;* &quot;-&quot;_ ;_ @_ "/>
    <numFmt numFmtId="167" formatCode="_-&quot;$&quot;\ * #,##0_-;\-&quot;$&quot;\ * #,##0_-;_-&quot;$&quot;\ * &quot;-&quot;_-;_-@_-"/>
    <numFmt numFmtId="168" formatCode="_-[$$-340A]\ * #,##0_-;[Red]\-[$$-340A]\ * #,##0_-;_-[$$-340A]\ * \-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b/>
      <sz val="11"/>
      <color indexed="18"/>
      <name val="Calibri"/>
      <family val="2"/>
    </font>
    <font>
      <sz val="11"/>
      <color indexed="1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63"/>
      <name val="Calibri"/>
      <family val="2"/>
    </font>
    <font>
      <b/>
      <sz val="10"/>
      <color indexed="63"/>
      <name val="Calibri"/>
      <family val="2"/>
    </font>
    <font>
      <sz val="10"/>
      <color indexed="18"/>
      <name val="Calibri"/>
      <family val="2"/>
    </font>
    <font>
      <sz val="11"/>
      <color rgb="FF002060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indexed="10"/>
      <name val="Calibri"/>
      <family val="2"/>
    </font>
    <font>
      <b/>
      <sz val="8"/>
      <color indexed="63"/>
      <name val="Verdana"/>
      <family val="2"/>
    </font>
    <font>
      <sz val="8"/>
      <color indexed="63"/>
      <name val="Verdana"/>
      <family val="2"/>
    </font>
    <font>
      <sz val="10"/>
      <color theme="1"/>
      <name val="Calibri"/>
      <family val="2"/>
      <scheme val="minor"/>
    </font>
    <font>
      <b/>
      <i/>
      <sz val="14"/>
      <color indexed="56"/>
      <name val="Calibri"/>
      <family val="2"/>
    </font>
    <font>
      <sz val="11"/>
      <color indexed="56"/>
      <name val="Calibri"/>
      <family val="2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</font>
    <font>
      <b/>
      <sz val="14"/>
      <color theme="1"/>
      <name val="Calibri"/>
      <family val="2"/>
      <scheme val="minor"/>
    </font>
    <font>
      <sz val="9"/>
      <color indexed="18"/>
      <name val="Calibri"/>
      <family val="2"/>
    </font>
    <font>
      <sz val="11"/>
      <color rgb="FF000080"/>
      <name val="Calibri"/>
      <family val="2"/>
    </font>
    <font>
      <sz val="11"/>
      <color theme="4"/>
      <name val="Calibri"/>
      <family val="2"/>
      <scheme val="minor"/>
    </font>
    <font>
      <sz val="11"/>
      <color theme="4"/>
      <name val="Calibri"/>
      <family val="2"/>
    </font>
    <font>
      <b/>
      <sz val="16"/>
      <color theme="0"/>
      <name val="Calibri"/>
      <family val="2"/>
      <scheme val="minor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indexed="9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44"/>
      </left>
      <right/>
      <top style="medium">
        <color indexed="44"/>
      </top>
      <bottom style="medium">
        <color indexed="9"/>
      </bottom>
      <diagonal/>
    </border>
    <border>
      <left/>
      <right/>
      <top style="medium">
        <color indexed="44"/>
      </top>
      <bottom style="medium">
        <color indexed="9"/>
      </bottom>
      <diagonal/>
    </border>
    <border>
      <left/>
      <right style="medium">
        <color indexed="44"/>
      </right>
      <top style="medium">
        <color indexed="44"/>
      </top>
      <bottom style="medium">
        <color indexed="9"/>
      </bottom>
      <diagonal/>
    </border>
    <border>
      <left style="medium">
        <color indexed="44"/>
      </left>
      <right style="medium">
        <color indexed="44"/>
      </right>
      <top style="medium">
        <color indexed="44"/>
      </top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8">
    <xf numFmtId="0" fontId="0" fillId="0" borderId="0" xfId="0"/>
    <xf numFmtId="0" fontId="3" fillId="0" borderId="0" xfId="0" applyFont="1"/>
    <xf numFmtId="0" fontId="0" fillId="3" borderId="0" xfId="0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3" borderId="0" xfId="0" applyFont="1" applyFill="1"/>
    <xf numFmtId="0" fontId="7" fillId="0" borderId="0" xfId="0" applyFont="1" applyAlignment="1">
      <alignment horizontal="center"/>
    </xf>
    <xf numFmtId="0" fontId="8" fillId="0" borderId="0" xfId="0" applyFont="1"/>
    <xf numFmtId="164" fontId="8" fillId="0" borderId="0" xfId="0" applyNumberFormat="1" applyFont="1"/>
    <xf numFmtId="164" fontId="8" fillId="0" borderId="0" xfId="0" applyNumberFormat="1" applyFont="1" applyAlignment="1">
      <alignment horizontal="center"/>
    </xf>
    <xf numFmtId="164" fontId="0" fillId="3" borderId="0" xfId="0" applyNumberFormat="1" applyFill="1"/>
    <xf numFmtId="0" fontId="8" fillId="0" borderId="0" xfId="0" applyFont="1" applyAlignment="1">
      <alignment horizontal="center"/>
    </xf>
    <xf numFmtId="164" fontId="0" fillId="0" borderId="0" xfId="0" applyNumberFormat="1"/>
    <xf numFmtId="0" fontId="10" fillId="4" borderId="1" xfId="0" applyFont="1" applyFill="1" applyBorder="1"/>
    <xf numFmtId="0" fontId="11" fillId="7" borderId="1" xfId="0" applyFont="1" applyFill="1" applyBorder="1" applyAlignment="1">
      <alignment vertical="center" wrapText="1"/>
    </xf>
    <xf numFmtId="10" fontId="12" fillId="7" borderId="1" xfId="0" applyNumberFormat="1" applyFont="1" applyFill="1" applyBorder="1" applyAlignment="1">
      <alignment horizontal="center" vertical="center" wrapText="1"/>
    </xf>
    <xf numFmtId="10" fontId="8" fillId="0" borderId="0" xfId="0" applyNumberFormat="1" applyFont="1" applyAlignment="1">
      <alignment horizontal="center"/>
    </xf>
    <xf numFmtId="164" fontId="5" fillId="2" borderId="0" xfId="0" applyNumberFormat="1" applyFont="1" applyFill="1"/>
    <xf numFmtId="0" fontId="11" fillId="4" borderId="1" xfId="0" applyFont="1" applyFill="1" applyBorder="1" applyAlignment="1">
      <alignment vertical="center" wrapText="1"/>
    </xf>
    <xf numFmtId="0" fontId="13" fillId="0" borderId="0" xfId="0" applyFont="1" applyAlignment="1">
      <alignment horizontal="center"/>
    </xf>
    <xf numFmtId="10" fontId="0" fillId="0" borderId="0" xfId="0" applyNumberFormat="1"/>
    <xf numFmtId="165" fontId="0" fillId="0" borderId="0" xfId="0" applyNumberFormat="1"/>
    <xf numFmtId="9" fontId="14" fillId="0" borderId="0" xfId="0" applyNumberFormat="1" applyFont="1" applyAlignment="1">
      <alignment horizontal="center"/>
    </xf>
    <xf numFmtId="9" fontId="0" fillId="0" borderId="0" xfId="0" applyNumberFormat="1"/>
    <xf numFmtId="0" fontId="15" fillId="0" borderId="0" xfId="0" applyFont="1" applyAlignment="1">
      <alignment horizontal="center"/>
    </xf>
    <xf numFmtId="0" fontId="0" fillId="2" borderId="0" xfId="0" applyFill="1"/>
    <xf numFmtId="0" fontId="16" fillId="0" borderId="0" xfId="0" applyFont="1" applyAlignment="1">
      <alignment horizontal="center"/>
    </xf>
    <xf numFmtId="164" fontId="14" fillId="0" borderId="0" xfId="0" applyNumberFormat="1" applyFont="1"/>
    <xf numFmtId="0" fontId="6" fillId="2" borderId="0" xfId="0" applyFont="1" applyFill="1"/>
    <xf numFmtId="164" fontId="6" fillId="2" borderId="0" xfId="0" applyNumberFormat="1" applyFont="1" applyFill="1"/>
    <xf numFmtId="0" fontId="7" fillId="6" borderId="0" xfId="0" applyFont="1" applyFill="1"/>
    <xf numFmtId="165" fontId="7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165" fontId="3" fillId="4" borderId="0" xfId="0" applyNumberFormat="1" applyFont="1" applyFill="1"/>
    <xf numFmtId="0" fontId="3" fillId="4" borderId="0" xfId="0" applyFont="1" applyFill="1"/>
    <xf numFmtId="0" fontId="3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165" fontId="17" fillId="0" borderId="0" xfId="0" applyNumberFormat="1" applyFont="1" applyAlignment="1">
      <alignment horizontal="right" vertical="center" wrapText="1"/>
    </xf>
    <xf numFmtId="0" fontId="17" fillId="7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right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0" fontId="18" fillId="7" borderId="5" xfId="0" applyFont="1" applyFill="1" applyBorder="1" applyAlignment="1">
      <alignment vertical="center" wrapText="1"/>
    </xf>
    <xf numFmtId="10" fontId="18" fillId="0" borderId="5" xfId="0" applyNumberFormat="1" applyFont="1" applyBorder="1" applyAlignment="1">
      <alignment vertical="center" wrapText="1"/>
    </xf>
    <xf numFmtId="164" fontId="7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4" fontId="17" fillId="0" borderId="5" xfId="0" applyNumberFormat="1" applyFont="1" applyBorder="1" applyAlignment="1">
      <alignment horizontal="right" vertical="center" wrapText="1"/>
    </xf>
    <xf numFmtId="10" fontId="17" fillId="0" borderId="5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/>
    </xf>
    <xf numFmtId="0" fontId="19" fillId="0" borderId="1" xfId="0" applyFont="1" applyBorder="1"/>
    <xf numFmtId="9" fontId="0" fillId="0" borderId="1" xfId="0" applyNumberFormat="1" applyBorder="1" applyAlignment="1">
      <alignment horizontal="center"/>
    </xf>
    <xf numFmtId="10" fontId="0" fillId="8" borderId="1" xfId="0" applyNumberFormat="1" applyFill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0" fontId="0" fillId="4" borderId="1" xfId="0" applyFill="1" applyBorder="1"/>
    <xf numFmtId="0" fontId="0" fillId="9" borderId="1" xfId="0" applyFill="1" applyBorder="1"/>
    <xf numFmtId="0" fontId="5" fillId="10" borderId="0" xfId="0" applyFont="1" applyFill="1" applyAlignment="1">
      <alignment horizontal="center"/>
    </xf>
    <xf numFmtId="0" fontId="21" fillId="0" borderId="0" xfId="0" applyFont="1"/>
    <xf numFmtId="164" fontId="21" fillId="0" borderId="0" xfId="0" applyNumberFormat="1" applyFont="1"/>
    <xf numFmtId="0" fontId="21" fillId="0" borderId="0" xfId="0" applyFont="1" applyAlignment="1">
      <alignment horizontal="center"/>
    </xf>
    <xf numFmtId="0" fontId="21" fillId="11" borderId="0" xfId="0" applyFont="1" applyFill="1" applyAlignment="1">
      <alignment horizontal="center"/>
    </xf>
    <xf numFmtId="0" fontId="5" fillId="10" borderId="0" xfId="0" applyFont="1" applyFill="1"/>
    <xf numFmtId="164" fontId="5" fillId="10" borderId="0" xfId="0" applyNumberFormat="1" applyFont="1" applyFill="1"/>
    <xf numFmtId="164" fontId="8" fillId="0" borderId="8" xfId="0" applyNumberFormat="1" applyFont="1" applyBorder="1"/>
    <xf numFmtId="164" fontId="8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13" borderId="0" xfId="0" applyFill="1"/>
    <xf numFmtId="0" fontId="0" fillId="0" borderId="9" xfId="0" applyBorder="1"/>
    <xf numFmtId="164" fontId="3" fillId="4" borderId="8" xfId="0" applyNumberFormat="1" applyFont="1" applyFill="1" applyBorder="1"/>
    <xf numFmtId="0" fontId="3" fillId="15" borderId="0" xfId="0" applyFont="1" applyFill="1" applyAlignment="1">
      <alignment horizontal="center"/>
    </xf>
    <xf numFmtId="42" fontId="0" fillId="0" borderId="0" xfId="1" applyFont="1"/>
    <xf numFmtId="0" fontId="0" fillId="0" borderId="0" xfId="0" applyBorder="1"/>
    <xf numFmtId="0" fontId="17" fillId="7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4" fontId="18" fillId="0" borderId="0" xfId="0" applyNumberFormat="1" applyFont="1" applyBorder="1" applyAlignment="1">
      <alignment horizontal="right" vertical="center" wrapText="1"/>
    </xf>
    <xf numFmtId="0" fontId="18" fillId="7" borderId="0" xfId="0" applyFont="1" applyFill="1" applyBorder="1" applyAlignment="1">
      <alignment vertical="center" wrapText="1"/>
    </xf>
    <xf numFmtId="10" fontId="18" fillId="0" borderId="0" xfId="0" applyNumberFormat="1" applyFont="1" applyBorder="1" applyAlignment="1">
      <alignment vertical="center" wrapText="1"/>
    </xf>
    <xf numFmtId="4" fontId="17" fillId="0" borderId="0" xfId="0" applyNumberFormat="1" applyFont="1" applyBorder="1" applyAlignment="1">
      <alignment horizontal="right" vertical="center" wrapText="1"/>
    </xf>
    <xf numFmtId="10" fontId="17" fillId="0" borderId="0" xfId="0" applyNumberFormat="1" applyFont="1" applyBorder="1" applyAlignment="1">
      <alignment vertical="center" wrapText="1"/>
    </xf>
    <xf numFmtId="0" fontId="3" fillId="13" borderId="0" xfId="0" applyFont="1" applyFill="1" applyBorder="1" applyAlignment="1">
      <alignment horizontal="center"/>
    </xf>
    <xf numFmtId="0" fontId="17" fillId="13" borderId="0" xfId="0" applyFont="1" applyFill="1" applyBorder="1" applyAlignment="1">
      <alignment horizontal="center" vertical="center" wrapText="1"/>
    </xf>
    <xf numFmtId="165" fontId="17" fillId="13" borderId="0" xfId="0" applyNumberFormat="1" applyFont="1" applyFill="1" applyBorder="1" applyAlignment="1">
      <alignment horizontal="right" vertical="center" wrapText="1"/>
    </xf>
    <xf numFmtId="0" fontId="0" fillId="13" borderId="0" xfId="0" applyFill="1" applyBorder="1"/>
    <xf numFmtId="42" fontId="7" fillId="0" borderId="0" xfId="0" applyNumberFormat="1" applyFont="1" applyAlignment="1">
      <alignment horizontal="center"/>
    </xf>
    <xf numFmtId="0" fontId="25" fillId="0" borderId="0" xfId="0" applyFont="1"/>
    <xf numFmtId="10" fontId="25" fillId="0" borderId="0" xfId="0" applyNumberFormat="1" applyFont="1"/>
    <xf numFmtId="164" fontId="25" fillId="0" borderId="0" xfId="0" applyNumberFormat="1" applyFont="1"/>
    <xf numFmtId="164" fontId="29" fillId="0" borderId="0" xfId="0" applyNumberFormat="1" applyFont="1"/>
    <xf numFmtId="164" fontId="8" fillId="0" borderId="9" xfId="0" applyNumberFormat="1" applyFont="1" applyBorder="1" applyAlignment="1">
      <alignment horizontal="center"/>
    </xf>
    <xf numFmtId="164" fontId="8" fillId="0" borderId="25" xfId="0" applyNumberFormat="1" applyFont="1" applyBorder="1"/>
    <xf numFmtId="164" fontId="8" fillId="0" borderId="26" xfId="0" applyNumberFormat="1" applyFont="1" applyBorder="1"/>
    <xf numFmtId="164" fontId="8" fillId="0" borderId="27" xfId="0" applyNumberFormat="1" applyFont="1" applyBorder="1"/>
    <xf numFmtId="0" fontId="4" fillId="2" borderId="0" xfId="0" applyFont="1" applyFill="1" applyAlignment="1">
      <alignment horizontal="center"/>
    </xf>
    <xf numFmtId="0" fontId="31" fillId="0" borderId="9" xfId="0" applyFont="1" applyBorder="1" applyAlignment="1"/>
    <xf numFmtId="0" fontId="8" fillId="0" borderId="0" xfId="0" applyFont="1" applyFill="1" applyBorder="1"/>
    <xf numFmtId="42" fontId="0" fillId="0" borderId="0" xfId="0" applyNumberFormat="1"/>
    <xf numFmtId="0" fontId="32" fillId="0" borderId="0" xfId="0" applyFont="1"/>
    <xf numFmtId="9" fontId="8" fillId="0" borderId="0" xfId="2" applyFont="1" applyAlignment="1">
      <alignment horizontal="center"/>
    </xf>
    <xf numFmtId="10" fontId="8" fillId="0" borderId="0" xfId="2" applyNumberFormat="1" applyFont="1" applyAlignment="1">
      <alignment horizontal="center"/>
    </xf>
    <xf numFmtId="0" fontId="6" fillId="2" borderId="0" xfId="0" applyFont="1" applyFill="1" applyAlignment="1"/>
    <xf numFmtId="164" fontId="5" fillId="13" borderId="0" xfId="0" applyNumberFormat="1" applyFont="1" applyFill="1"/>
    <xf numFmtId="0" fontId="5" fillId="13" borderId="0" xfId="0" applyFont="1" applyFill="1"/>
    <xf numFmtId="164" fontId="0" fillId="13" borderId="0" xfId="0" applyNumberFormat="1" applyFill="1"/>
    <xf numFmtId="0" fontId="0" fillId="0" borderId="0" xfId="0" applyAlignment="1">
      <alignment horizontal="left"/>
    </xf>
    <xf numFmtId="0" fontId="33" fillId="19" borderId="0" xfId="0" applyFont="1" applyFill="1"/>
    <xf numFmtId="0" fontId="34" fillId="19" borderId="0" xfId="0" applyFont="1" applyFill="1"/>
    <xf numFmtId="164" fontId="33" fillId="19" borderId="0" xfId="0" applyNumberFormat="1" applyFont="1" applyFill="1"/>
    <xf numFmtId="42" fontId="8" fillId="0" borderId="0" xfId="1" applyFont="1"/>
    <xf numFmtId="42" fontId="5" fillId="2" borderId="0" xfId="1" applyFont="1" applyFill="1"/>
    <xf numFmtId="42" fontId="8" fillId="0" borderId="0" xfId="1" applyFont="1" applyAlignment="1">
      <alignment horizontal="right"/>
    </xf>
    <xf numFmtId="42" fontId="5" fillId="2" borderId="0" xfId="1" applyFont="1" applyFill="1" applyAlignment="1">
      <alignment horizontal="center"/>
    </xf>
    <xf numFmtId="0" fontId="8" fillId="12" borderId="0" xfId="0" applyFont="1" applyFill="1"/>
    <xf numFmtId="10" fontId="8" fillId="12" borderId="0" xfId="0" applyNumberFormat="1" applyFont="1" applyFill="1" applyAlignment="1">
      <alignment horizontal="center"/>
    </xf>
    <xf numFmtId="42" fontId="8" fillId="12" borderId="0" xfId="1" applyFont="1" applyFill="1"/>
    <xf numFmtId="0" fontId="0" fillId="0" borderId="8" xfId="0" applyBorder="1"/>
    <xf numFmtId="2" fontId="0" fillId="0" borderId="8" xfId="0" applyNumberFormat="1" applyBorder="1"/>
    <xf numFmtId="1" fontId="0" fillId="0" borderId="0" xfId="0" applyNumberFormat="1"/>
    <xf numFmtId="0" fontId="36" fillId="0" borderId="38" xfId="0" applyFont="1" applyBorder="1" applyProtection="1">
      <protection locked="0"/>
    </xf>
    <xf numFmtId="0" fontId="36" fillId="0" borderId="39" xfId="0" applyFont="1" applyBorder="1" applyProtection="1">
      <protection locked="0"/>
    </xf>
    <xf numFmtId="168" fontId="37" fillId="22" borderId="40" xfId="0" applyNumberFormat="1" applyFont="1" applyFill="1" applyBorder="1" applyAlignment="1" applyProtection="1">
      <protection hidden="1"/>
    </xf>
    <xf numFmtId="0" fontId="2" fillId="13" borderId="0" xfId="0" applyFont="1" applyFill="1" applyBorder="1" applyAlignment="1" applyProtection="1">
      <alignment horizontal="left"/>
      <protection locked="0"/>
    </xf>
    <xf numFmtId="0" fontId="2" fillId="13" borderId="0" xfId="0" applyFont="1" applyFill="1" applyBorder="1" applyAlignment="1" applyProtection="1">
      <alignment horizontal="center"/>
      <protection locked="0"/>
    </xf>
    <xf numFmtId="0" fontId="27" fillId="15" borderId="8" xfId="0" applyFont="1" applyFill="1" applyBorder="1" applyAlignment="1" applyProtection="1">
      <alignment horizontal="center"/>
      <protection locked="0"/>
    </xf>
    <xf numFmtId="0" fontId="0" fillId="13" borderId="0" xfId="0" applyFill="1" applyProtection="1">
      <protection locked="0"/>
    </xf>
    <xf numFmtId="0" fontId="2" fillId="13" borderId="0" xfId="0" applyFont="1" applyFill="1" applyAlignment="1" applyProtection="1">
      <alignment horizontal="left"/>
      <protection locked="0"/>
    </xf>
    <xf numFmtId="0" fontId="2" fillId="15" borderId="8" xfId="0" applyFont="1" applyFill="1" applyBorder="1" applyAlignment="1" applyProtection="1">
      <alignment horizontal="left" vertical="center"/>
      <protection locked="0"/>
    </xf>
    <xf numFmtId="0" fontId="22" fillId="17" borderId="9" xfId="0" applyFont="1" applyFill="1" applyBorder="1" applyAlignment="1" applyProtection="1">
      <alignment horizontal="center" vertical="center" wrapText="1"/>
      <protection locked="0"/>
    </xf>
    <xf numFmtId="0" fontId="2" fillId="17" borderId="8" xfId="0" applyFont="1" applyFill="1" applyBorder="1" applyAlignment="1" applyProtection="1">
      <alignment horizontal="center" vertical="center"/>
      <protection locked="0"/>
    </xf>
    <xf numFmtId="0" fontId="2" fillId="15" borderId="8" xfId="0" applyFont="1" applyFill="1" applyBorder="1" applyProtection="1">
      <protection locked="0"/>
    </xf>
    <xf numFmtId="49" fontId="23" fillId="16" borderId="8" xfId="0" applyNumberFormat="1" applyFont="1" applyFill="1" applyBorder="1" applyAlignment="1" applyProtection="1">
      <alignment horizontal="center"/>
      <protection locked="0"/>
    </xf>
    <xf numFmtId="10" fontId="12" fillId="7" borderId="20" xfId="0" applyNumberFormat="1" applyFont="1" applyFill="1" applyBorder="1" applyAlignment="1" applyProtection="1">
      <alignment horizontal="center" vertical="center" wrapText="1"/>
      <protection locked="0"/>
    </xf>
    <xf numFmtId="42" fontId="0" fillId="0" borderId="13" xfId="1" applyFont="1" applyBorder="1" applyProtection="1">
      <protection locked="0"/>
    </xf>
    <xf numFmtId="0" fontId="23" fillId="16" borderId="8" xfId="0" applyFont="1" applyFill="1" applyBorder="1" applyAlignment="1" applyProtection="1">
      <alignment horizontal="center"/>
      <protection locked="0"/>
    </xf>
    <xf numFmtId="10" fontId="12" fillId="7" borderId="1" xfId="0" applyNumberFormat="1" applyFont="1" applyFill="1" applyBorder="1" applyAlignment="1" applyProtection="1">
      <alignment horizontal="center" vertical="center" wrapText="1"/>
      <protection locked="0"/>
    </xf>
    <xf numFmtId="42" fontId="0" fillId="0" borderId="15" xfId="1" applyFont="1" applyBorder="1" applyProtection="1">
      <protection locked="0"/>
    </xf>
    <xf numFmtId="10" fontId="12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right"/>
      <protection locked="0"/>
    </xf>
    <xf numFmtId="0" fontId="2" fillId="11" borderId="12" xfId="0" applyFont="1" applyFill="1" applyBorder="1" applyAlignment="1" applyProtection="1">
      <alignment horizontal="right"/>
      <protection locked="0"/>
    </xf>
    <xf numFmtId="0" fontId="2" fillId="11" borderId="8" xfId="0" applyFont="1" applyFill="1" applyBorder="1" applyAlignment="1" applyProtection="1">
      <alignment horizontal="right"/>
      <protection locked="0"/>
    </xf>
    <xf numFmtId="0" fontId="2" fillId="15" borderId="12" xfId="0" applyFont="1" applyFill="1" applyBorder="1" applyAlignment="1" applyProtection="1">
      <alignment horizontal="left"/>
      <protection locked="0"/>
    </xf>
    <xf numFmtId="10" fontId="12" fillId="7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left"/>
      <protection locked="0"/>
    </xf>
    <xf numFmtId="9" fontId="23" fillId="16" borderId="8" xfId="0" applyNumberFormat="1" applyFont="1" applyFill="1" applyBorder="1" applyAlignment="1" applyProtection="1">
      <alignment horizontal="center"/>
      <protection locked="0"/>
    </xf>
    <xf numFmtId="1" fontId="23" fillId="16" borderId="8" xfId="0" applyNumberFormat="1" applyFont="1" applyFill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42" fontId="23" fillId="16" borderId="8" xfId="1" applyNumberFormat="1" applyFont="1" applyFill="1" applyBorder="1" applyProtection="1"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19" fillId="0" borderId="1" xfId="0" applyFont="1" applyBorder="1" applyProtection="1">
      <protection locked="0"/>
    </xf>
    <xf numFmtId="0" fontId="3" fillId="0" borderId="15" xfId="0" applyFont="1" applyBorder="1" applyAlignment="1" applyProtection="1">
      <alignment horizontal="center"/>
      <protection locked="0"/>
    </xf>
    <xf numFmtId="42" fontId="0" fillId="0" borderId="17" xfId="1" applyFont="1" applyBorder="1" applyProtection="1">
      <protection locked="0"/>
    </xf>
    <xf numFmtId="0" fontId="0" fillId="15" borderId="8" xfId="0" applyFill="1" applyBorder="1" applyProtection="1">
      <protection locked="0"/>
    </xf>
    <xf numFmtId="42" fontId="2" fillId="16" borderId="8" xfId="1" applyFont="1" applyFill="1" applyBorder="1" applyProtection="1">
      <protection locked="0"/>
    </xf>
    <xf numFmtId="164" fontId="3" fillId="0" borderId="21" xfId="0" applyNumberFormat="1" applyFont="1" applyBorder="1" applyAlignment="1" applyProtection="1">
      <alignment horizontal="center"/>
      <protection locked="0"/>
    </xf>
    <xf numFmtId="0" fontId="19" fillId="0" borderId="21" xfId="0" applyFont="1" applyBorder="1" applyProtection="1"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0" fillId="15" borderId="9" xfId="0" applyFill="1" applyBorder="1" applyProtection="1">
      <protection locked="0"/>
    </xf>
    <xf numFmtId="0" fontId="2" fillId="16" borderId="8" xfId="0" applyFont="1" applyFill="1" applyBorder="1" applyAlignment="1" applyProtection="1">
      <alignment horizontal="right"/>
      <protection locked="0"/>
    </xf>
    <xf numFmtId="166" fontId="2" fillId="15" borderId="8" xfId="1" applyNumberFormat="1" applyFont="1" applyFill="1" applyBorder="1" applyProtection="1">
      <protection locked="0"/>
    </xf>
    <xf numFmtId="42" fontId="2" fillId="15" borderId="8" xfId="1" applyNumberFormat="1" applyFont="1" applyFill="1" applyBorder="1" applyProtection="1">
      <protection locked="0"/>
    </xf>
    <xf numFmtId="0" fontId="2" fillId="15" borderId="12" xfId="0" applyFont="1" applyFill="1" applyBorder="1" applyProtection="1">
      <protection locked="0"/>
    </xf>
    <xf numFmtId="42" fontId="2" fillId="15" borderId="8" xfId="1" applyFont="1" applyFill="1" applyBorder="1" applyProtection="1">
      <protection locked="0"/>
    </xf>
    <xf numFmtId="0" fontId="24" fillId="18" borderId="29" xfId="0" applyFont="1" applyFill="1" applyBorder="1" applyAlignment="1" applyProtection="1">
      <alignment horizontal="left"/>
      <protection locked="0"/>
    </xf>
    <xf numFmtId="0" fontId="24" fillId="18" borderId="0" xfId="0" applyFont="1" applyFill="1" applyBorder="1" applyAlignment="1" applyProtection="1">
      <alignment horizontal="left"/>
      <protection locked="0"/>
    </xf>
    <xf numFmtId="42" fontId="0" fillId="16" borderId="8" xfId="1" applyFont="1" applyFill="1" applyBorder="1" applyProtection="1">
      <protection locked="0"/>
    </xf>
    <xf numFmtId="10" fontId="2" fillId="15" borderId="8" xfId="2" applyNumberFormat="1" applyFont="1" applyFill="1" applyBorder="1" applyProtection="1">
      <protection locked="0"/>
    </xf>
    <xf numFmtId="16" fontId="2" fillId="13" borderId="8" xfId="0" applyNumberFormat="1" applyFont="1" applyFill="1" applyBorder="1" applyProtection="1"/>
    <xf numFmtId="0" fontId="7" fillId="0" borderId="8" xfId="0" applyFont="1" applyBorder="1" applyAlignment="1" applyProtection="1">
      <alignment horizontal="center"/>
    </xf>
    <xf numFmtId="0" fontId="2" fillId="13" borderId="8" xfId="0" applyFont="1" applyFill="1" applyBorder="1" applyAlignment="1" applyProtection="1">
      <alignment horizontal="center"/>
    </xf>
    <xf numFmtId="0" fontId="2" fillId="13" borderId="8" xfId="0" applyFont="1" applyFill="1" applyBorder="1" applyAlignment="1" applyProtection="1">
      <alignment horizontal="center" vertical="center"/>
    </xf>
    <xf numFmtId="0" fontId="0" fillId="13" borderId="8" xfId="0" applyFill="1" applyBorder="1" applyAlignment="1" applyProtection="1">
      <alignment horizontal="center"/>
    </xf>
    <xf numFmtId="0" fontId="0" fillId="13" borderId="8" xfId="0" applyFill="1" applyBorder="1" applyProtection="1"/>
    <xf numFmtId="0" fontId="19" fillId="15" borderId="8" xfId="0" applyFont="1" applyFill="1" applyBorder="1" applyProtection="1"/>
    <xf numFmtId="0" fontId="19" fillId="15" borderId="27" xfId="0" applyFont="1" applyFill="1" applyBorder="1" applyProtection="1"/>
    <xf numFmtId="0" fontId="28" fillId="16" borderId="9" xfId="0" applyFont="1" applyFill="1" applyBorder="1" applyAlignment="1" applyProtection="1">
      <alignment vertical="center"/>
      <protection locked="0"/>
    </xf>
    <xf numFmtId="0" fontId="28" fillId="16" borderId="10" xfId="0" applyFont="1" applyFill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center"/>
    </xf>
    <xf numFmtId="0" fontId="10" fillId="4" borderId="25" xfId="0" applyFont="1" applyFill="1" applyBorder="1" applyAlignment="1" applyProtection="1">
      <alignment horizontal="center" vertical="center"/>
    </xf>
    <xf numFmtId="0" fontId="11" fillId="7" borderId="18" xfId="0" applyFont="1" applyFill="1" applyBorder="1" applyAlignment="1" applyProtection="1">
      <alignment vertical="center" wrapText="1"/>
    </xf>
    <xf numFmtId="0" fontId="10" fillId="4" borderId="26" xfId="0" applyFont="1" applyFill="1" applyBorder="1" applyAlignment="1" applyProtection="1">
      <alignment horizontal="center" vertical="center"/>
    </xf>
    <xf numFmtId="0" fontId="11" fillId="7" borderId="14" xfId="0" applyFont="1" applyFill="1" applyBorder="1" applyAlignment="1" applyProtection="1">
      <alignment vertical="center" wrapText="1"/>
    </xf>
    <xf numFmtId="0" fontId="11" fillId="13" borderId="14" xfId="0" applyFont="1" applyFill="1" applyBorder="1" applyAlignment="1" applyProtection="1">
      <alignment vertical="center" wrapText="1"/>
    </xf>
    <xf numFmtId="0" fontId="10" fillId="4" borderId="27" xfId="0" applyFont="1" applyFill="1" applyBorder="1" applyAlignment="1" applyProtection="1">
      <alignment horizontal="center" vertical="center"/>
    </xf>
    <xf numFmtId="0" fontId="11" fillId="7" borderId="16" xfId="0" applyFont="1" applyFill="1" applyBorder="1" applyAlignment="1" applyProtection="1">
      <alignment vertical="center" wrapText="1"/>
    </xf>
    <xf numFmtId="0" fontId="0" fillId="0" borderId="30" xfId="0" applyBorder="1" applyProtection="1"/>
    <xf numFmtId="0" fontId="0" fillId="0" borderId="14" xfId="0" applyBorder="1" applyProtection="1"/>
    <xf numFmtId="0" fontId="0" fillId="0" borderId="16" xfId="0" applyBorder="1" applyProtection="1"/>
    <xf numFmtId="42" fontId="8" fillId="0" borderId="0" xfId="0" applyNumberFormat="1" applyFont="1" applyAlignment="1">
      <alignment horizontal="center"/>
    </xf>
    <xf numFmtId="42" fontId="2" fillId="15" borderId="8" xfId="1" applyFont="1" applyFill="1" applyBorder="1" applyAlignment="1" applyProtection="1">
      <alignment horizontal="center"/>
      <protection locked="0"/>
    </xf>
    <xf numFmtId="42" fontId="8" fillId="0" borderId="0" xfId="1" applyFont="1" applyAlignment="1" applyProtection="1">
      <alignment horizontal="right"/>
    </xf>
    <xf numFmtId="166" fontId="0" fillId="13" borderId="8" xfId="1" applyNumberFormat="1" applyFont="1" applyFill="1" applyBorder="1" applyAlignment="1" applyProtection="1">
      <alignment horizontal="center"/>
    </xf>
    <xf numFmtId="0" fontId="2" fillId="14" borderId="9" xfId="0" applyFont="1" applyFill="1" applyBorder="1" applyAlignment="1" applyProtection="1">
      <alignment horizontal="center"/>
      <protection locked="0"/>
    </xf>
    <xf numFmtId="0" fontId="2" fillId="14" borderId="28" xfId="0" applyFont="1" applyFill="1" applyBorder="1" applyAlignment="1" applyProtection="1">
      <alignment horizontal="center"/>
      <protection locked="0"/>
    </xf>
    <xf numFmtId="0" fontId="2" fillId="14" borderId="10" xfId="0" applyFont="1" applyFill="1" applyBorder="1" applyAlignment="1" applyProtection="1">
      <alignment horizontal="center"/>
      <protection locked="0"/>
    </xf>
    <xf numFmtId="0" fontId="2" fillId="17" borderId="37" xfId="0" applyFont="1" applyFill="1" applyBorder="1" applyAlignment="1" applyProtection="1">
      <alignment horizontal="center" vertical="center"/>
      <protection locked="0"/>
    </xf>
    <xf numFmtId="0" fontId="2" fillId="17" borderId="19" xfId="0" applyFont="1" applyFill="1" applyBorder="1" applyAlignment="1" applyProtection="1">
      <alignment horizontal="center" vertical="center"/>
      <protection locked="0"/>
    </xf>
    <xf numFmtId="10" fontId="12" fillId="7" borderId="34" xfId="0" applyNumberFormat="1" applyFont="1" applyFill="1" applyBorder="1" applyAlignment="1" applyProtection="1">
      <alignment horizontal="center" vertical="center" wrapText="1"/>
      <protection locked="0"/>
    </xf>
    <xf numFmtId="10" fontId="12" fillId="7" borderId="35" xfId="0" applyNumberFormat="1" applyFont="1" applyFill="1" applyBorder="1" applyAlignment="1" applyProtection="1">
      <alignment horizontal="center" vertical="center" wrapText="1"/>
      <protection locked="0"/>
    </xf>
    <xf numFmtId="10" fontId="12" fillId="7" borderId="36" xfId="0" applyNumberFormat="1" applyFont="1" applyFill="1" applyBorder="1" applyAlignment="1" applyProtection="1">
      <alignment horizontal="center" vertical="center" wrapText="1"/>
      <protection locked="0"/>
    </xf>
    <xf numFmtId="0" fontId="24" fillId="18" borderId="9" xfId="0" applyFont="1" applyFill="1" applyBorder="1" applyAlignment="1" applyProtection="1">
      <alignment horizontal="left"/>
      <protection locked="0"/>
    </xf>
    <xf numFmtId="0" fontId="24" fillId="18" borderId="28" xfId="0" applyFont="1" applyFill="1" applyBorder="1" applyAlignment="1" applyProtection="1">
      <alignment horizontal="left"/>
      <protection locked="0"/>
    </xf>
    <xf numFmtId="0" fontId="24" fillId="18" borderId="10" xfId="0" applyFont="1" applyFill="1" applyBorder="1" applyAlignment="1" applyProtection="1">
      <alignment horizontal="left"/>
      <protection locked="0"/>
    </xf>
    <xf numFmtId="0" fontId="35" fillId="21" borderId="29" xfId="0" applyFont="1" applyFill="1" applyBorder="1" applyAlignment="1" applyProtection="1">
      <alignment horizontal="center"/>
      <protection locked="0"/>
    </xf>
    <xf numFmtId="0" fontId="35" fillId="21" borderId="0" xfId="0" applyFont="1" applyFill="1" applyBorder="1" applyAlignment="1" applyProtection="1">
      <alignment horizontal="center"/>
      <protection locked="0"/>
    </xf>
    <xf numFmtId="0" fontId="9" fillId="17" borderId="9" xfId="0" applyFont="1" applyFill="1" applyBorder="1" applyAlignment="1" applyProtection="1">
      <alignment horizontal="center" vertical="center"/>
      <protection locked="0"/>
    </xf>
    <xf numFmtId="0" fontId="9" fillId="17" borderId="28" xfId="0" applyFont="1" applyFill="1" applyBorder="1" applyAlignment="1" applyProtection="1">
      <alignment horizontal="center" vertical="center"/>
      <protection locked="0"/>
    </xf>
    <xf numFmtId="0" fontId="9" fillId="17" borderId="10" xfId="0" applyFont="1" applyFill="1" applyBorder="1" applyAlignment="1" applyProtection="1">
      <alignment horizontal="center" vertical="center"/>
      <protection locked="0"/>
    </xf>
    <xf numFmtId="0" fontId="3" fillId="17" borderId="22" xfId="0" applyFont="1" applyFill="1" applyBorder="1" applyAlignment="1" applyProtection="1">
      <alignment horizontal="center"/>
      <protection locked="0"/>
    </xf>
    <xf numFmtId="0" fontId="3" fillId="17" borderId="23" xfId="0" applyFont="1" applyFill="1" applyBorder="1" applyAlignment="1" applyProtection="1">
      <alignment horizontal="center"/>
      <protection locked="0"/>
    </xf>
    <xf numFmtId="0" fontId="3" fillId="17" borderId="24" xfId="0" applyFont="1" applyFill="1" applyBorder="1" applyAlignment="1" applyProtection="1">
      <alignment horizontal="center"/>
      <protection locked="0"/>
    </xf>
    <xf numFmtId="0" fontId="3" fillId="0" borderId="32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24" fillId="18" borderId="9" xfId="0" applyFont="1" applyFill="1" applyBorder="1" applyAlignment="1" applyProtection="1">
      <alignment horizontal="center"/>
      <protection locked="0"/>
    </xf>
    <xf numFmtId="0" fontId="24" fillId="18" borderId="28" xfId="0" applyFont="1" applyFill="1" applyBorder="1" applyAlignment="1" applyProtection="1">
      <alignment horizontal="center"/>
      <protection locked="0"/>
    </xf>
    <xf numFmtId="0" fontId="24" fillId="18" borderId="10" xfId="0" applyFont="1" applyFill="1" applyBorder="1" applyAlignment="1" applyProtection="1">
      <alignment horizontal="center"/>
      <protection locked="0"/>
    </xf>
    <xf numFmtId="0" fontId="2" fillId="15" borderId="9" xfId="0" applyFont="1" applyFill="1" applyBorder="1" applyAlignment="1" applyProtection="1">
      <alignment horizontal="center"/>
      <protection locked="0"/>
    </xf>
    <xf numFmtId="0" fontId="2" fillId="15" borderId="28" xfId="0" applyFont="1" applyFill="1" applyBorder="1" applyAlignment="1" applyProtection="1">
      <alignment horizontal="center"/>
      <protection locked="0"/>
    </xf>
    <xf numFmtId="0" fontId="2" fillId="15" borderId="10" xfId="0" applyFont="1" applyFill="1" applyBorder="1" applyAlignment="1" applyProtection="1">
      <alignment horizontal="center"/>
      <protection locked="0"/>
    </xf>
    <xf numFmtId="0" fontId="23" fillId="16" borderId="11" xfId="0" applyFont="1" applyFill="1" applyBorder="1" applyAlignment="1" applyProtection="1">
      <alignment horizontal="center" vertical="center"/>
      <protection locked="0"/>
    </xf>
    <xf numFmtId="0" fontId="23" fillId="16" borderId="12" xfId="0" applyFont="1" applyFill="1" applyBorder="1" applyAlignment="1" applyProtection="1">
      <alignment horizontal="center" vertical="center"/>
      <protection locked="0"/>
    </xf>
    <xf numFmtId="167" fontId="36" fillId="0" borderId="40" xfId="0" applyNumberFormat="1" applyFont="1" applyBorder="1" applyProtection="1">
      <protection hidden="1"/>
    </xf>
    <xf numFmtId="0" fontId="36" fillId="0" borderId="41" xfId="0" applyFont="1" applyBorder="1" applyAlignment="1" applyProtection="1">
      <alignment horizontal="left"/>
      <protection locked="0"/>
    </xf>
    <xf numFmtId="0" fontId="36" fillId="0" borderId="42" xfId="0" applyFont="1" applyBorder="1" applyAlignment="1" applyProtection="1">
      <alignment horizontal="left"/>
      <protection locked="0"/>
    </xf>
    <xf numFmtId="0" fontId="37" fillId="22" borderId="38" xfId="0" applyFont="1" applyFill="1" applyBorder="1" applyAlignment="1" applyProtection="1">
      <alignment horizontal="right"/>
      <protection locked="0"/>
    </xf>
    <xf numFmtId="0" fontId="37" fillId="22" borderId="39" xfId="0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/>
    </xf>
    <xf numFmtId="0" fontId="17" fillId="13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0" fillId="0" borderId="0" xfId="0" applyFont="1" applyAlignment="1">
      <alignment horizontal="center"/>
    </xf>
    <xf numFmtId="0" fontId="30" fillId="20" borderId="9" xfId="0" applyFont="1" applyFill="1" applyBorder="1" applyAlignment="1">
      <alignment horizontal="center"/>
    </xf>
    <xf numFmtId="0" fontId="30" fillId="20" borderId="28" xfId="0" applyFont="1" applyFill="1" applyBorder="1" applyAlignment="1">
      <alignment horizontal="center"/>
    </xf>
    <xf numFmtId="0" fontId="30" fillId="20" borderId="10" xfId="0" applyFont="1" applyFill="1" applyBorder="1" applyAlignment="1">
      <alignment horizontal="center"/>
    </xf>
    <xf numFmtId="0" fontId="40" fillId="2" borderId="0" xfId="0" applyNumberFormat="1" applyFont="1" applyFill="1" applyAlignment="1">
      <alignment horizontal="center"/>
    </xf>
    <xf numFmtId="0" fontId="2" fillId="13" borderId="0" xfId="0" applyFont="1" applyFill="1" applyProtection="1">
      <protection locked="0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640772</xdr:colOff>
      <xdr:row>54</xdr:row>
      <xdr:rowOff>129886</xdr:rowOff>
    </xdr:from>
    <xdr:to>
      <xdr:col>11</xdr:col>
      <xdr:colOff>753341</xdr:colOff>
      <xdr:row>54</xdr:row>
      <xdr:rowOff>138545</xdr:rowOff>
    </xdr:to>
    <xdr:cxnSp macro="">
      <xdr:nvCxnSpPr>
        <xdr:cNvPr id="2" name="Conector recto de flecha 1">
          <a:extLst>
            <a:ext uri="{FF2B5EF4-FFF2-40B4-BE49-F238E27FC236}">
              <a16:creationId xmlns:a16="http://schemas.microsoft.com/office/drawing/2014/main" id="{8CA59D81-AC4B-45BC-9035-582448ED8D2D}"/>
            </a:ext>
          </a:extLst>
        </xdr:cNvPr>
        <xdr:cNvCxnSpPr/>
      </xdr:nvCxnSpPr>
      <xdr:spPr>
        <a:xfrm>
          <a:off x="13013747" y="9321511"/>
          <a:ext cx="112569" cy="865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597477</xdr:colOff>
      <xdr:row>54</xdr:row>
      <xdr:rowOff>121227</xdr:rowOff>
    </xdr:from>
    <xdr:to>
      <xdr:col>11</xdr:col>
      <xdr:colOff>759649</xdr:colOff>
      <xdr:row>55</xdr:row>
      <xdr:rowOff>95250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94122162-208A-4F97-8410-9490D1AD9CBC}"/>
            </a:ext>
          </a:extLst>
        </xdr:cNvPr>
        <xdr:cNvCxnSpPr/>
      </xdr:nvCxnSpPr>
      <xdr:spPr>
        <a:xfrm>
          <a:off x="12970452" y="9312852"/>
          <a:ext cx="162172" cy="16452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AD891-FF9C-4E0C-8D8C-560C509F6545}">
  <sheetPr codeName="Hoja1"/>
  <dimension ref="A1:K34"/>
  <sheetViews>
    <sheetView tabSelected="1" workbookViewId="0">
      <selection activeCell="B29" sqref="B29"/>
    </sheetView>
  </sheetViews>
  <sheetFormatPr baseColWidth="10" defaultRowHeight="15" x14ac:dyDescent="0.25"/>
  <cols>
    <col min="1" max="1" width="24.140625" style="126" customWidth="1"/>
    <col min="2" max="2" width="25.85546875" style="126" customWidth="1"/>
    <col min="3" max="3" width="31.28515625" style="126" customWidth="1"/>
    <col min="4" max="4" width="4.42578125" style="126" customWidth="1"/>
    <col min="5" max="5" width="21.7109375" style="126" customWidth="1"/>
    <col min="6" max="6" width="12" style="126" bestFit="1" customWidth="1"/>
    <col min="7" max="7" width="11.42578125" style="126"/>
    <col min="8" max="8" width="13.85546875" style="126" customWidth="1"/>
    <col min="9" max="9" width="1.85546875" style="126" customWidth="1"/>
    <col min="10" max="10" width="18" style="126" customWidth="1"/>
    <col min="11" max="11" width="11.42578125" style="126"/>
    <col min="12" max="12" width="24.85546875" style="126" customWidth="1"/>
    <col min="13" max="16384" width="11.42578125" style="126"/>
  </cols>
  <sheetData>
    <row r="1" spans="1:11" ht="21.75" thickBot="1" x14ac:dyDescent="0.4">
      <c r="A1" s="206" t="s">
        <v>115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1" ht="16.5" thickBot="1" x14ac:dyDescent="0.3">
      <c r="A2" s="123" t="s">
        <v>220</v>
      </c>
      <c r="B2" s="124"/>
      <c r="C2" s="125" t="s">
        <v>163</v>
      </c>
      <c r="E2" s="195" t="s">
        <v>221</v>
      </c>
      <c r="F2" s="196"/>
      <c r="G2" s="196"/>
      <c r="H2" s="196"/>
      <c r="I2" s="196"/>
      <c r="J2" s="196"/>
      <c r="K2" s="197"/>
    </row>
    <row r="3" spans="1:11" ht="16.5" thickBot="1" x14ac:dyDescent="0.3">
      <c r="A3" s="127" t="s">
        <v>166</v>
      </c>
      <c r="C3" s="125">
        <v>2020</v>
      </c>
      <c r="J3" s="198">
        <f>+C3</f>
        <v>2020</v>
      </c>
      <c r="K3" s="199"/>
    </row>
    <row r="4" spans="1:11" ht="19.5" thickBot="1" x14ac:dyDescent="0.3">
      <c r="A4" s="128" t="s">
        <v>116</v>
      </c>
      <c r="B4" s="177" t="s">
        <v>219</v>
      </c>
      <c r="C4" s="178"/>
      <c r="E4" s="129" t="s">
        <v>222</v>
      </c>
      <c r="F4" s="208" t="s">
        <v>11</v>
      </c>
      <c r="G4" s="209"/>
      <c r="H4" s="210"/>
      <c r="J4" s="130" t="s">
        <v>169</v>
      </c>
      <c r="K4" s="130" t="s">
        <v>144</v>
      </c>
    </row>
    <row r="5" spans="1:11" ht="15.75" thickBot="1" x14ac:dyDescent="0.3">
      <c r="A5" s="131" t="s">
        <v>117</v>
      </c>
      <c r="B5" s="132" t="s">
        <v>218</v>
      </c>
      <c r="C5" s="169" t="s">
        <v>227</v>
      </c>
      <c r="E5" s="181">
        <v>1</v>
      </c>
      <c r="F5" s="182" t="s">
        <v>15</v>
      </c>
      <c r="G5" s="133">
        <v>0.1144</v>
      </c>
      <c r="H5" s="200">
        <v>1.9900000000000001E-2</v>
      </c>
      <c r="J5" s="188" t="s">
        <v>155</v>
      </c>
      <c r="K5" s="134">
        <v>49673</v>
      </c>
    </row>
    <row r="6" spans="1:11" ht="15.75" thickBot="1" x14ac:dyDescent="0.3">
      <c r="A6" s="131" t="s">
        <v>34</v>
      </c>
      <c r="B6" s="135">
        <v>3</v>
      </c>
      <c r="C6" s="170" t="str">
        <f>VLOOKUP(B6,E4:H11,2,0)</f>
        <v>Hábitat</v>
      </c>
      <c r="E6" s="183">
        <v>2</v>
      </c>
      <c r="F6" s="184" t="s">
        <v>17</v>
      </c>
      <c r="G6" s="136">
        <v>0.1144</v>
      </c>
      <c r="H6" s="201"/>
      <c r="J6" s="189" t="s">
        <v>156</v>
      </c>
      <c r="K6" s="137">
        <v>49723</v>
      </c>
    </row>
    <row r="7" spans="1:11" ht="15.75" thickBot="1" x14ac:dyDescent="0.3">
      <c r="A7" s="219" t="s">
        <v>118</v>
      </c>
      <c r="B7" s="220"/>
      <c r="C7" s="221"/>
      <c r="E7" s="183">
        <v>3</v>
      </c>
      <c r="F7" s="185" t="s">
        <v>223</v>
      </c>
      <c r="G7" s="138">
        <v>0.11269999999999999</v>
      </c>
      <c r="H7" s="201"/>
      <c r="J7" s="189" t="s">
        <v>157</v>
      </c>
      <c r="K7" s="137">
        <v>50021</v>
      </c>
    </row>
    <row r="8" spans="1:11" ht="15.75" thickBot="1" x14ac:dyDescent="0.3">
      <c r="A8" s="139" t="s">
        <v>119</v>
      </c>
      <c r="B8" s="222">
        <v>1</v>
      </c>
      <c r="C8" s="171" t="s">
        <v>126</v>
      </c>
      <c r="E8" s="183">
        <v>4</v>
      </c>
      <c r="F8" s="185" t="s">
        <v>26</v>
      </c>
      <c r="G8" s="138">
        <v>0.1116</v>
      </c>
      <c r="H8" s="201"/>
      <c r="J8" s="189" t="s">
        <v>158</v>
      </c>
      <c r="K8" s="137">
        <v>50221</v>
      </c>
    </row>
    <row r="9" spans="1:11" ht="15.75" thickBot="1" x14ac:dyDescent="0.3">
      <c r="A9" s="140" t="s">
        <v>120</v>
      </c>
      <c r="B9" s="223"/>
      <c r="C9" s="171" t="s">
        <v>127</v>
      </c>
      <c r="E9" s="183">
        <v>5</v>
      </c>
      <c r="F9" s="184" t="s">
        <v>28</v>
      </c>
      <c r="G9" s="136">
        <v>0.1145</v>
      </c>
      <c r="H9" s="201"/>
      <c r="J9" s="189" t="s">
        <v>159</v>
      </c>
      <c r="K9" s="137">
        <v>50372</v>
      </c>
    </row>
    <row r="10" spans="1:11" ht="15.75" thickBot="1" x14ac:dyDescent="0.3">
      <c r="A10" s="141" t="s">
        <v>121</v>
      </c>
      <c r="B10" s="135">
        <v>0</v>
      </c>
      <c r="C10" s="172" t="s">
        <v>88</v>
      </c>
      <c r="E10" s="183">
        <v>6</v>
      </c>
      <c r="F10" s="184" t="s">
        <v>31</v>
      </c>
      <c r="G10" s="136">
        <v>0.1077</v>
      </c>
      <c r="H10" s="201"/>
      <c r="J10" s="189" t="s">
        <v>160</v>
      </c>
      <c r="K10" s="137">
        <v>50372</v>
      </c>
    </row>
    <row r="11" spans="1:11" ht="15.75" thickBot="1" x14ac:dyDescent="0.3">
      <c r="A11" s="142" t="s">
        <v>130</v>
      </c>
      <c r="B11" s="135">
        <v>0</v>
      </c>
      <c r="C11" s="172" t="s">
        <v>131</v>
      </c>
      <c r="E11" s="186">
        <v>7</v>
      </c>
      <c r="F11" s="187" t="s">
        <v>132</v>
      </c>
      <c r="G11" s="143">
        <v>0.1069</v>
      </c>
      <c r="H11" s="202"/>
      <c r="J11" s="189" t="s">
        <v>161</v>
      </c>
      <c r="K11" s="137">
        <v>50372</v>
      </c>
    </row>
    <row r="12" spans="1:11" ht="15.75" thickBot="1" x14ac:dyDescent="0.3">
      <c r="A12" s="144" t="s">
        <v>129</v>
      </c>
      <c r="B12" s="135">
        <v>2</v>
      </c>
      <c r="C12" s="172" t="s">
        <v>224</v>
      </c>
      <c r="J12" s="189" t="s">
        <v>50</v>
      </c>
      <c r="K12" s="137">
        <v>50272</v>
      </c>
    </row>
    <row r="13" spans="1:11" ht="15.75" thickBot="1" x14ac:dyDescent="0.3">
      <c r="A13" s="144" t="s">
        <v>134</v>
      </c>
      <c r="B13" s="145">
        <v>0</v>
      </c>
      <c r="C13" s="172" t="s">
        <v>149</v>
      </c>
      <c r="E13" s="211" t="s">
        <v>214</v>
      </c>
      <c r="F13" s="212"/>
      <c r="G13" s="212"/>
      <c r="H13" s="213"/>
      <c r="J13" s="189" t="s">
        <v>162</v>
      </c>
      <c r="K13" s="137">
        <v>50322</v>
      </c>
    </row>
    <row r="14" spans="1:11" ht="15.75" thickBot="1" x14ac:dyDescent="0.3">
      <c r="A14" s="144" t="s">
        <v>213</v>
      </c>
      <c r="B14" s="146">
        <v>30</v>
      </c>
      <c r="C14" s="172" t="s">
        <v>225</v>
      </c>
      <c r="E14" s="147" t="s">
        <v>69</v>
      </c>
      <c r="F14" s="148" t="s">
        <v>77</v>
      </c>
      <c r="G14" s="214" t="s">
        <v>78</v>
      </c>
      <c r="H14" s="215"/>
      <c r="J14" s="189" t="s">
        <v>163</v>
      </c>
      <c r="K14" s="137">
        <v>50372</v>
      </c>
    </row>
    <row r="15" spans="1:11" ht="15.75" thickBot="1" x14ac:dyDescent="0.3">
      <c r="A15" s="144" t="s">
        <v>145</v>
      </c>
      <c r="B15" s="149">
        <v>100000</v>
      </c>
      <c r="C15" s="172" t="s">
        <v>150</v>
      </c>
      <c r="E15" s="179" t="s">
        <v>80</v>
      </c>
      <c r="F15" s="150">
        <v>13401</v>
      </c>
      <c r="G15" s="151" t="s">
        <v>170</v>
      </c>
      <c r="H15" s="152"/>
      <c r="J15" s="189" t="s">
        <v>164</v>
      </c>
      <c r="K15" s="137">
        <v>50674</v>
      </c>
    </row>
    <row r="16" spans="1:11" ht="15.75" thickBot="1" x14ac:dyDescent="0.3">
      <c r="A16" s="216" t="s">
        <v>151</v>
      </c>
      <c r="B16" s="217"/>
      <c r="C16" s="218"/>
      <c r="E16" s="179" t="s">
        <v>82</v>
      </c>
      <c r="F16" s="150">
        <v>8224</v>
      </c>
      <c r="G16" s="151" t="s">
        <v>171</v>
      </c>
      <c r="H16" s="152"/>
      <c r="J16" s="190" t="s">
        <v>165</v>
      </c>
      <c r="K16" s="153">
        <v>51029</v>
      </c>
    </row>
    <row r="17" spans="1:8" ht="15.75" thickBot="1" x14ac:dyDescent="0.3">
      <c r="A17" s="203" t="s">
        <v>194</v>
      </c>
      <c r="B17" s="204"/>
      <c r="C17" s="205"/>
      <c r="E17" s="179" t="s">
        <v>85</v>
      </c>
      <c r="F17" s="150">
        <v>2599</v>
      </c>
      <c r="G17" s="151" t="s">
        <v>172</v>
      </c>
      <c r="H17" s="152"/>
    </row>
    <row r="18" spans="1:8" ht="15.75" thickBot="1" x14ac:dyDescent="0.3">
      <c r="A18" s="154" t="s">
        <v>179</v>
      </c>
      <c r="B18" s="155">
        <v>0</v>
      </c>
      <c r="C18" s="173" t="s">
        <v>180</v>
      </c>
      <c r="E18" s="180" t="s">
        <v>64</v>
      </c>
      <c r="F18" s="156">
        <v>0</v>
      </c>
      <c r="G18" s="157" t="s">
        <v>173</v>
      </c>
      <c r="H18" s="158"/>
    </row>
    <row r="19" spans="1:8" ht="15.75" thickBot="1" x14ac:dyDescent="0.3">
      <c r="A19" s="154" t="s">
        <v>181</v>
      </c>
      <c r="B19" s="155">
        <v>0</v>
      </c>
      <c r="C19" s="173" t="s">
        <v>180</v>
      </c>
    </row>
    <row r="20" spans="1:8" ht="15.75" thickBot="1" x14ac:dyDescent="0.3">
      <c r="A20" s="159" t="s">
        <v>193</v>
      </c>
      <c r="B20" s="160">
        <v>0</v>
      </c>
      <c r="C20" s="173" t="s">
        <v>200</v>
      </c>
      <c r="E20" s="247" t="s">
        <v>228</v>
      </c>
    </row>
    <row r="21" spans="1:8" ht="15.75" thickBot="1" x14ac:dyDescent="0.3">
      <c r="A21" s="159" t="s">
        <v>136</v>
      </c>
      <c r="B21" s="160">
        <v>0</v>
      </c>
      <c r="C21" s="173" t="s">
        <v>205</v>
      </c>
      <c r="E21" s="175" t="s">
        <v>123</v>
      </c>
      <c r="F21" s="161">
        <v>28838.63</v>
      </c>
      <c r="G21" s="194"/>
      <c r="H21" s="194"/>
    </row>
    <row r="22" spans="1:8" ht="15.75" thickBot="1" x14ac:dyDescent="0.3">
      <c r="A22" s="159"/>
      <c r="B22" s="160"/>
      <c r="C22" s="173" t="s">
        <v>200</v>
      </c>
      <c r="E22" s="175" t="s">
        <v>144</v>
      </c>
      <c r="F22" s="162">
        <v>50372</v>
      </c>
      <c r="G22" s="194" t="s">
        <v>153</v>
      </c>
      <c r="H22" s="194"/>
    </row>
    <row r="23" spans="1:8" ht="15.75" thickBot="1" x14ac:dyDescent="0.3">
      <c r="A23" s="203" t="s">
        <v>195</v>
      </c>
      <c r="B23" s="204"/>
      <c r="C23" s="205"/>
      <c r="E23" s="175" t="s">
        <v>124</v>
      </c>
      <c r="F23" s="131">
        <v>80.2</v>
      </c>
      <c r="G23" s="194"/>
      <c r="H23" s="194"/>
    </row>
    <row r="24" spans="1:8" ht="15.75" thickBot="1" x14ac:dyDescent="0.3">
      <c r="A24" s="154" t="s">
        <v>137</v>
      </c>
      <c r="B24" s="155">
        <v>0</v>
      </c>
      <c r="C24" s="173" t="s">
        <v>207</v>
      </c>
      <c r="E24" s="175" t="s">
        <v>125</v>
      </c>
      <c r="F24" s="163">
        <v>120.4</v>
      </c>
      <c r="G24" s="194"/>
      <c r="H24" s="194"/>
    </row>
    <row r="25" spans="1:8" ht="15.75" thickBot="1" x14ac:dyDescent="0.3">
      <c r="A25" s="154" t="s">
        <v>138</v>
      </c>
      <c r="B25" s="155">
        <v>0</v>
      </c>
      <c r="C25" s="173" t="s">
        <v>207</v>
      </c>
      <c r="E25" s="176" t="s">
        <v>128</v>
      </c>
      <c r="F25" s="164">
        <v>326500</v>
      </c>
      <c r="G25" s="194"/>
      <c r="H25" s="194"/>
    </row>
    <row r="26" spans="1:8" ht="15.75" thickBot="1" x14ac:dyDescent="0.3">
      <c r="A26" s="154" t="s">
        <v>215</v>
      </c>
      <c r="B26" s="155">
        <v>0</v>
      </c>
      <c r="C26" s="173" t="s">
        <v>207</v>
      </c>
      <c r="E26" s="175" t="s">
        <v>226</v>
      </c>
      <c r="F26" s="131">
        <v>21</v>
      </c>
      <c r="G26" s="194"/>
      <c r="H26" s="194"/>
    </row>
    <row r="27" spans="1:8" ht="15.75" thickBot="1" x14ac:dyDescent="0.3">
      <c r="A27" s="154" t="s">
        <v>214</v>
      </c>
      <c r="B27" s="155">
        <v>0</v>
      </c>
      <c r="C27" s="173" t="s">
        <v>200</v>
      </c>
      <c r="E27" s="175" t="s">
        <v>133</v>
      </c>
      <c r="F27" s="131">
        <v>6</v>
      </c>
      <c r="G27" s="194"/>
      <c r="H27" s="194"/>
    </row>
    <row r="28" spans="1:8" ht="15.75" thickBot="1" x14ac:dyDescent="0.3">
      <c r="A28" s="165" t="s">
        <v>139</v>
      </c>
      <c r="B28" s="166"/>
      <c r="C28" s="166"/>
      <c r="E28" s="175" t="s">
        <v>135</v>
      </c>
      <c r="F28" s="164">
        <v>0</v>
      </c>
      <c r="G28" s="194" t="s">
        <v>152</v>
      </c>
      <c r="H28" s="194"/>
    </row>
    <row r="29" spans="1:8" ht="15.75" thickBot="1" x14ac:dyDescent="0.3">
      <c r="A29" s="154"/>
      <c r="B29" s="167"/>
      <c r="C29" s="174"/>
      <c r="E29" s="175" t="s">
        <v>189</v>
      </c>
      <c r="F29" s="168">
        <v>9.2999999999999992E-3</v>
      </c>
      <c r="G29" s="194"/>
      <c r="H29" s="194"/>
    </row>
    <row r="30" spans="1:8" ht="15.75" thickBot="1" x14ac:dyDescent="0.3">
      <c r="A30" s="154" t="s">
        <v>140</v>
      </c>
      <c r="B30" s="155">
        <v>0</v>
      </c>
      <c r="C30" s="173" t="s">
        <v>206</v>
      </c>
      <c r="E30" s="175" t="s">
        <v>174</v>
      </c>
      <c r="F30" s="192" t="s">
        <v>229</v>
      </c>
      <c r="G30" s="194" t="s">
        <v>69</v>
      </c>
      <c r="H30" s="194"/>
    </row>
    <row r="31" spans="1:8" ht="15.75" thickBot="1" x14ac:dyDescent="0.3">
      <c r="A31" s="154" t="s">
        <v>141</v>
      </c>
      <c r="B31" s="155">
        <v>0</v>
      </c>
      <c r="C31" s="173" t="s">
        <v>206</v>
      </c>
    </row>
    <row r="32" spans="1:8" ht="15.75" thickBot="1" x14ac:dyDescent="0.3">
      <c r="A32" s="154" t="s">
        <v>142</v>
      </c>
      <c r="B32" s="155">
        <v>0</v>
      </c>
      <c r="C32" s="173" t="s">
        <v>206</v>
      </c>
    </row>
    <row r="33" spans="1:3" ht="15.75" thickBot="1" x14ac:dyDescent="0.3">
      <c r="A33" s="154" t="s">
        <v>143</v>
      </c>
      <c r="B33" s="155">
        <v>0</v>
      </c>
      <c r="C33" s="173" t="s">
        <v>206</v>
      </c>
    </row>
    <row r="34" spans="1:3" ht="15.75" thickBot="1" x14ac:dyDescent="0.3">
      <c r="A34" s="154"/>
      <c r="B34" s="155"/>
      <c r="C34" s="173" t="s">
        <v>204</v>
      </c>
    </row>
  </sheetData>
  <sheetProtection algorithmName="SHA-512" hashValue="5iomHVVers2GzS/3GZR1ABmw2ei+4J3OrnJuzXrvjMMOWiTT6IHToaPxqbNi/gLS921R8wRLpg8glItPTS/CdQ==" saltValue="JIr3ygG0MWQ8Jb82cSjmjw==" spinCount="100000" sheet="1" objects="1" scenarios="1" formatCells="0"/>
  <mergeCells count="22">
    <mergeCell ref="A23:C23"/>
    <mergeCell ref="G21:H21"/>
    <mergeCell ref="G22:H22"/>
    <mergeCell ref="G23:H23"/>
    <mergeCell ref="B8:B9"/>
    <mergeCell ref="A17:C17"/>
    <mergeCell ref="A1:K1"/>
    <mergeCell ref="F4:H4"/>
    <mergeCell ref="E13:H13"/>
    <mergeCell ref="G14:H14"/>
    <mergeCell ref="A16:C16"/>
    <mergeCell ref="A7:C7"/>
    <mergeCell ref="G29:H29"/>
    <mergeCell ref="G30:H30"/>
    <mergeCell ref="E2:K2"/>
    <mergeCell ref="G24:H24"/>
    <mergeCell ref="G25:H25"/>
    <mergeCell ref="G26:H26"/>
    <mergeCell ref="G27:H27"/>
    <mergeCell ref="G28:H28"/>
    <mergeCell ref="J3:K3"/>
    <mergeCell ref="H5:H11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75DB81D-FCFE-40F0-89BE-88E9552975BD}">
          <x14:formula1>
            <xm:f>'base de datos'!$K$70:$K$81</xm:f>
          </x14:formula1>
          <xm:sqref>C2</xm:sqref>
        </x14:dataValidation>
        <x14:dataValidation type="list" allowBlank="1" showInputMessage="1" showErrorMessage="1" xr:uid="{698BBED2-556B-4BAB-BD61-18A97601C717}">
          <x14:formula1>
            <xm:f>'base de datos'!$K$85:$K$90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1D91B-E1DD-4043-829A-9F7347D1A9AE}">
  <sheetPr codeName="Hoja2"/>
  <dimension ref="A1:AA92"/>
  <sheetViews>
    <sheetView workbookViewId="0">
      <selection activeCell="E15" sqref="E15"/>
    </sheetView>
  </sheetViews>
  <sheetFormatPr baseColWidth="10" defaultRowHeight="15" x14ac:dyDescent="0.25"/>
  <cols>
    <col min="1" max="1" width="4.28515625" style="1" bestFit="1" customWidth="1"/>
    <col min="2" max="2" width="59.85546875" customWidth="1"/>
    <col min="3" max="3" width="12.5703125" customWidth="1"/>
    <col min="4" max="4" width="11.85546875" bestFit="1" customWidth="1"/>
    <col min="5" max="5" width="13.28515625" bestFit="1" customWidth="1"/>
    <col min="6" max="6" width="13.28515625" customWidth="1"/>
    <col min="7" max="7" width="13.140625" bestFit="1" customWidth="1"/>
    <col min="8" max="8" width="2.7109375" customWidth="1"/>
    <col min="11" max="11" width="34.5703125" bestFit="1" customWidth="1"/>
    <col min="13" max="13" width="19.7109375" bestFit="1" customWidth="1"/>
    <col min="14" max="14" width="6.140625" bestFit="1" customWidth="1"/>
    <col min="16" max="17" width="13.28515625" bestFit="1" customWidth="1"/>
    <col min="19" max="19" width="13.28515625" bestFit="1" customWidth="1"/>
    <col min="20" max="20" width="11.7109375" bestFit="1" customWidth="1"/>
    <col min="229" max="229" width="4.28515625" bestFit="1" customWidth="1"/>
    <col min="230" max="230" width="59.85546875" customWidth="1"/>
    <col min="232" max="232" width="11.85546875" bestFit="1" customWidth="1"/>
    <col min="233" max="233" width="13.28515625" bestFit="1" customWidth="1"/>
    <col min="234" max="234" width="13.28515625" customWidth="1"/>
    <col min="236" max="236" width="2.7109375" customWidth="1"/>
    <col min="239" max="239" width="34.5703125" bestFit="1" customWidth="1"/>
    <col min="241" max="241" width="19.7109375" bestFit="1" customWidth="1"/>
    <col min="242" max="242" width="6.140625" bestFit="1" customWidth="1"/>
    <col min="244" max="245" width="13.28515625" bestFit="1" customWidth="1"/>
    <col min="247" max="247" width="13.28515625" bestFit="1" customWidth="1"/>
    <col min="248" max="248" width="11.7109375" bestFit="1" customWidth="1"/>
    <col min="249" max="249" width="2.7109375" customWidth="1"/>
    <col min="250" max="250" width="19.5703125" customWidth="1"/>
    <col min="485" max="485" width="4.28515625" bestFit="1" customWidth="1"/>
    <col min="486" max="486" width="59.85546875" customWidth="1"/>
    <col min="488" max="488" width="11.85546875" bestFit="1" customWidth="1"/>
    <col min="489" max="489" width="13.28515625" bestFit="1" customWidth="1"/>
    <col min="490" max="490" width="13.28515625" customWidth="1"/>
    <col min="492" max="492" width="2.7109375" customWidth="1"/>
    <col min="495" max="495" width="34.5703125" bestFit="1" customWidth="1"/>
    <col min="497" max="497" width="19.7109375" bestFit="1" customWidth="1"/>
    <col min="498" max="498" width="6.140625" bestFit="1" customWidth="1"/>
    <col min="500" max="501" width="13.28515625" bestFit="1" customWidth="1"/>
    <col min="503" max="503" width="13.28515625" bestFit="1" customWidth="1"/>
    <col min="504" max="504" width="11.7109375" bestFit="1" customWidth="1"/>
    <col min="505" max="505" width="2.7109375" customWidth="1"/>
    <col min="506" max="506" width="19.5703125" customWidth="1"/>
    <col min="741" max="741" width="4.28515625" bestFit="1" customWidth="1"/>
    <col min="742" max="742" width="59.85546875" customWidth="1"/>
    <col min="744" max="744" width="11.85546875" bestFit="1" customWidth="1"/>
    <col min="745" max="745" width="13.28515625" bestFit="1" customWidth="1"/>
    <col min="746" max="746" width="13.28515625" customWidth="1"/>
    <col min="748" max="748" width="2.7109375" customWidth="1"/>
    <col min="751" max="751" width="34.5703125" bestFit="1" customWidth="1"/>
    <col min="753" max="753" width="19.7109375" bestFit="1" customWidth="1"/>
    <col min="754" max="754" width="6.140625" bestFit="1" customWidth="1"/>
    <col min="756" max="757" width="13.28515625" bestFit="1" customWidth="1"/>
    <col min="759" max="759" width="13.28515625" bestFit="1" customWidth="1"/>
    <col min="760" max="760" width="11.7109375" bestFit="1" customWidth="1"/>
    <col min="761" max="761" width="2.7109375" customWidth="1"/>
    <col min="762" max="762" width="19.5703125" customWidth="1"/>
    <col min="997" max="997" width="4.28515625" bestFit="1" customWidth="1"/>
    <col min="998" max="998" width="59.85546875" customWidth="1"/>
    <col min="1000" max="1000" width="11.85546875" bestFit="1" customWidth="1"/>
    <col min="1001" max="1001" width="13.28515625" bestFit="1" customWidth="1"/>
    <col min="1002" max="1002" width="13.28515625" customWidth="1"/>
    <col min="1004" max="1004" width="2.7109375" customWidth="1"/>
    <col min="1007" max="1007" width="34.5703125" bestFit="1" customWidth="1"/>
    <col min="1009" max="1009" width="19.7109375" bestFit="1" customWidth="1"/>
    <col min="1010" max="1010" width="6.140625" bestFit="1" customWidth="1"/>
    <col min="1012" max="1013" width="13.28515625" bestFit="1" customWidth="1"/>
    <col min="1015" max="1015" width="13.28515625" bestFit="1" customWidth="1"/>
    <col min="1016" max="1016" width="11.7109375" bestFit="1" customWidth="1"/>
    <col min="1017" max="1017" width="2.7109375" customWidth="1"/>
    <col min="1018" max="1018" width="19.5703125" customWidth="1"/>
    <col min="1253" max="1253" width="4.28515625" bestFit="1" customWidth="1"/>
    <col min="1254" max="1254" width="59.85546875" customWidth="1"/>
    <col min="1256" max="1256" width="11.85546875" bestFit="1" customWidth="1"/>
    <col min="1257" max="1257" width="13.28515625" bestFit="1" customWidth="1"/>
    <col min="1258" max="1258" width="13.28515625" customWidth="1"/>
    <col min="1260" max="1260" width="2.7109375" customWidth="1"/>
    <col min="1263" max="1263" width="34.5703125" bestFit="1" customWidth="1"/>
    <col min="1265" max="1265" width="19.7109375" bestFit="1" customWidth="1"/>
    <col min="1266" max="1266" width="6.140625" bestFit="1" customWidth="1"/>
    <col min="1268" max="1269" width="13.28515625" bestFit="1" customWidth="1"/>
    <col min="1271" max="1271" width="13.28515625" bestFit="1" customWidth="1"/>
    <col min="1272" max="1272" width="11.7109375" bestFit="1" customWidth="1"/>
    <col min="1273" max="1273" width="2.7109375" customWidth="1"/>
    <col min="1274" max="1274" width="19.5703125" customWidth="1"/>
    <col min="1509" max="1509" width="4.28515625" bestFit="1" customWidth="1"/>
    <col min="1510" max="1510" width="59.85546875" customWidth="1"/>
    <col min="1512" max="1512" width="11.85546875" bestFit="1" customWidth="1"/>
    <col min="1513" max="1513" width="13.28515625" bestFit="1" customWidth="1"/>
    <col min="1514" max="1514" width="13.28515625" customWidth="1"/>
    <col min="1516" max="1516" width="2.7109375" customWidth="1"/>
    <col min="1519" max="1519" width="34.5703125" bestFit="1" customWidth="1"/>
    <col min="1521" max="1521" width="19.7109375" bestFit="1" customWidth="1"/>
    <col min="1522" max="1522" width="6.140625" bestFit="1" customWidth="1"/>
    <col min="1524" max="1525" width="13.28515625" bestFit="1" customWidth="1"/>
    <col min="1527" max="1527" width="13.28515625" bestFit="1" customWidth="1"/>
    <col min="1528" max="1528" width="11.7109375" bestFit="1" customWidth="1"/>
    <col min="1529" max="1529" width="2.7109375" customWidth="1"/>
    <col min="1530" max="1530" width="19.5703125" customWidth="1"/>
    <col min="1765" max="1765" width="4.28515625" bestFit="1" customWidth="1"/>
    <col min="1766" max="1766" width="59.85546875" customWidth="1"/>
    <col min="1768" max="1768" width="11.85546875" bestFit="1" customWidth="1"/>
    <col min="1769" max="1769" width="13.28515625" bestFit="1" customWidth="1"/>
    <col min="1770" max="1770" width="13.28515625" customWidth="1"/>
    <col min="1772" max="1772" width="2.7109375" customWidth="1"/>
    <col min="1775" max="1775" width="34.5703125" bestFit="1" customWidth="1"/>
    <col min="1777" max="1777" width="19.7109375" bestFit="1" customWidth="1"/>
    <col min="1778" max="1778" width="6.140625" bestFit="1" customWidth="1"/>
    <col min="1780" max="1781" width="13.28515625" bestFit="1" customWidth="1"/>
    <col min="1783" max="1783" width="13.28515625" bestFit="1" customWidth="1"/>
    <col min="1784" max="1784" width="11.7109375" bestFit="1" customWidth="1"/>
    <col min="1785" max="1785" width="2.7109375" customWidth="1"/>
    <col min="1786" max="1786" width="19.5703125" customWidth="1"/>
    <col min="2021" max="2021" width="4.28515625" bestFit="1" customWidth="1"/>
    <col min="2022" max="2022" width="59.85546875" customWidth="1"/>
    <col min="2024" max="2024" width="11.85546875" bestFit="1" customWidth="1"/>
    <col min="2025" max="2025" width="13.28515625" bestFit="1" customWidth="1"/>
    <col min="2026" max="2026" width="13.28515625" customWidth="1"/>
    <col min="2028" max="2028" width="2.7109375" customWidth="1"/>
    <col min="2031" max="2031" width="34.5703125" bestFit="1" customWidth="1"/>
    <col min="2033" max="2033" width="19.7109375" bestFit="1" customWidth="1"/>
    <col min="2034" max="2034" width="6.140625" bestFit="1" customWidth="1"/>
    <col min="2036" max="2037" width="13.28515625" bestFit="1" customWidth="1"/>
    <col min="2039" max="2039" width="13.28515625" bestFit="1" customWidth="1"/>
    <col min="2040" max="2040" width="11.7109375" bestFit="1" customWidth="1"/>
    <col min="2041" max="2041" width="2.7109375" customWidth="1"/>
    <col min="2042" max="2042" width="19.5703125" customWidth="1"/>
    <col min="2277" max="2277" width="4.28515625" bestFit="1" customWidth="1"/>
    <col min="2278" max="2278" width="59.85546875" customWidth="1"/>
    <col min="2280" max="2280" width="11.85546875" bestFit="1" customWidth="1"/>
    <col min="2281" max="2281" width="13.28515625" bestFit="1" customWidth="1"/>
    <col min="2282" max="2282" width="13.28515625" customWidth="1"/>
    <col min="2284" max="2284" width="2.7109375" customWidth="1"/>
    <col min="2287" max="2287" width="34.5703125" bestFit="1" customWidth="1"/>
    <col min="2289" max="2289" width="19.7109375" bestFit="1" customWidth="1"/>
    <col min="2290" max="2290" width="6.140625" bestFit="1" customWidth="1"/>
    <col min="2292" max="2293" width="13.28515625" bestFit="1" customWidth="1"/>
    <col min="2295" max="2295" width="13.28515625" bestFit="1" customWidth="1"/>
    <col min="2296" max="2296" width="11.7109375" bestFit="1" customWidth="1"/>
    <col min="2297" max="2297" width="2.7109375" customWidth="1"/>
    <col min="2298" max="2298" width="19.5703125" customWidth="1"/>
    <col min="2533" max="2533" width="4.28515625" bestFit="1" customWidth="1"/>
    <col min="2534" max="2534" width="59.85546875" customWidth="1"/>
    <col min="2536" max="2536" width="11.85546875" bestFit="1" customWidth="1"/>
    <col min="2537" max="2537" width="13.28515625" bestFit="1" customWidth="1"/>
    <col min="2538" max="2538" width="13.28515625" customWidth="1"/>
    <col min="2540" max="2540" width="2.7109375" customWidth="1"/>
    <col min="2543" max="2543" width="34.5703125" bestFit="1" customWidth="1"/>
    <col min="2545" max="2545" width="19.7109375" bestFit="1" customWidth="1"/>
    <col min="2546" max="2546" width="6.140625" bestFit="1" customWidth="1"/>
    <col min="2548" max="2549" width="13.28515625" bestFit="1" customWidth="1"/>
    <col min="2551" max="2551" width="13.28515625" bestFit="1" customWidth="1"/>
    <col min="2552" max="2552" width="11.7109375" bestFit="1" customWidth="1"/>
    <col min="2553" max="2553" width="2.7109375" customWidth="1"/>
    <col min="2554" max="2554" width="19.5703125" customWidth="1"/>
    <col min="2789" max="2789" width="4.28515625" bestFit="1" customWidth="1"/>
    <col min="2790" max="2790" width="59.85546875" customWidth="1"/>
    <col min="2792" max="2792" width="11.85546875" bestFit="1" customWidth="1"/>
    <col min="2793" max="2793" width="13.28515625" bestFit="1" customWidth="1"/>
    <col min="2794" max="2794" width="13.28515625" customWidth="1"/>
    <col min="2796" max="2796" width="2.7109375" customWidth="1"/>
    <col min="2799" max="2799" width="34.5703125" bestFit="1" customWidth="1"/>
    <col min="2801" max="2801" width="19.7109375" bestFit="1" customWidth="1"/>
    <col min="2802" max="2802" width="6.140625" bestFit="1" customWidth="1"/>
    <col min="2804" max="2805" width="13.28515625" bestFit="1" customWidth="1"/>
    <col min="2807" max="2807" width="13.28515625" bestFit="1" customWidth="1"/>
    <col min="2808" max="2808" width="11.7109375" bestFit="1" customWidth="1"/>
    <col min="2809" max="2809" width="2.7109375" customWidth="1"/>
    <col min="2810" max="2810" width="19.5703125" customWidth="1"/>
    <col min="3045" max="3045" width="4.28515625" bestFit="1" customWidth="1"/>
    <col min="3046" max="3046" width="59.85546875" customWidth="1"/>
    <col min="3048" max="3048" width="11.85546875" bestFit="1" customWidth="1"/>
    <col min="3049" max="3049" width="13.28515625" bestFit="1" customWidth="1"/>
    <col min="3050" max="3050" width="13.28515625" customWidth="1"/>
    <col min="3052" max="3052" width="2.7109375" customWidth="1"/>
    <col min="3055" max="3055" width="34.5703125" bestFit="1" customWidth="1"/>
    <col min="3057" max="3057" width="19.7109375" bestFit="1" customWidth="1"/>
    <col min="3058" max="3058" width="6.140625" bestFit="1" customWidth="1"/>
    <col min="3060" max="3061" width="13.28515625" bestFit="1" customWidth="1"/>
    <col min="3063" max="3063" width="13.28515625" bestFit="1" customWidth="1"/>
    <col min="3064" max="3064" width="11.7109375" bestFit="1" customWidth="1"/>
    <col min="3065" max="3065" width="2.7109375" customWidth="1"/>
    <col min="3066" max="3066" width="19.5703125" customWidth="1"/>
    <col min="3301" max="3301" width="4.28515625" bestFit="1" customWidth="1"/>
    <col min="3302" max="3302" width="59.85546875" customWidth="1"/>
    <col min="3304" max="3304" width="11.85546875" bestFit="1" customWidth="1"/>
    <col min="3305" max="3305" width="13.28515625" bestFit="1" customWidth="1"/>
    <col min="3306" max="3306" width="13.28515625" customWidth="1"/>
    <col min="3308" max="3308" width="2.7109375" customWidth="1"/>
    <col min="3311" max="3311" width="34.5703125" bestFit="1" customWidth="1"/>
    <col min="3313" max="3313" width="19.7109375" bestFit="1" customWidth="1"/>
    <col min="3314" max="3314" width="6.140625" bestFit="1" customWidth="1"/>
    <col min="3316" max="3317" width="13.28515625" bestFit="1" customWidth="1"/>
    <col min="3319" max="3319" width="13.28515625" bestFit="1" customWidth="1"/>
    <col min="3320" max="3320" width="11.7109375" bestFit="1" customWidth="1"/>
    <col min="3321" max="3321" width="2.7109375" customWidth="1"/>
    <col min="3322" max="3322" width="19.5703125" customWidth="1"/>
    <col min="3557" max="3557" width="4.28515625" bestFit="1" customWidth="1"/>
    <col min="3558" max="3558" width="59.85546875" customWidth="1"/>
    <col min="3560" max="3560" width="11.85546875" bestFit="1" customWidth="1"/>
    <col min="3561" max="3561" width="13.28515625" bestFit="1" customWidth="1"/>
    <col min="3562" max="3562" width="13.28515625" customWidth="1"/>
    <col min="3564" max="3564" width="2.7109375" customWidth="1"/>
    <col min="3567" max="3567" width="34.5703125" bestFit="1" customWidth="1"/>
    <col min="3569" max="3569" width="19.7109375" bestFit="1" customWidth="1"/>
    <col min="3570" max="3570" width="6.140625" bestFit="1" customWidth="1"/>
    <col min="3572" max="3573" width="13.28515625" bestFit="1" customWidth="1"/>
    <col min="3575" max="3575" width="13.28515625" bestFit="1" customWidth="1"/>
    <col min="3576" max="3576" width="11.7109375" bestFit="1" customWidth="1"/>
    <col min="3577" max="3577" width="2.7109375" customWidth="1"/>
    <col min="3578" max="3578" width="19.5703125" customWidth="1"/>
    <col min="3813" max="3813" width="4.28515625" bestFit="1" customWidth="1"/>
    <col min="3814" max="3814" width="59.85546875" customWidth="1"/>
    <col min="3816" max="3816" width="11.85546875" bestFit="1" customWidth="1"/>
    <col min="3817" max="3817" width="13.28515625" bestFit="1" customWidth="1"/>
    <col min="3818" max="3818" width="13.28515625" customWidth="1"/>
    <col min="3820" max="3820" width="2.7109375" customWidth="1"/>
    <col min="3823" max="3823" width="34.5703125" bestFit="1" customWidth="1"/>
    <col min="3825" max="3825" width="19.7109375" bestFit="1" customWidth="1"/>
    <col min="3826" max="3826" width="6.140625" bestFit="1" customWidth="1"/>
    <col min="3828" max="3829" width="13.28515625" bestFit="1" customWidth="1"/>
    <col min="3831" max="3831" width="13.28515625" bestFit="1" customWidth="1"/>
    <col min="3832" max="3832" width="11.7109375" bestFit="1" customWidth="1"/>
    <col min="3833" max="3833" width="2.7109375" customWidth="1"/>
    <col min="3834" max="3834" width="19.5703125" customWidth="1"/>
    <col min="4069" max="4069" width="4.28515625" bestFit="1" customWidth="1"/>
    <col min="4070" max="4070" width="59.85546875" customWidth="1"/>
    <col min="4072" max="4072" width="11.85546875" bestFit="1" customWidth="1"/>
    <col min="4073" max="4073" width="13.28515625" bestFit="1" customWidth="1"/>
    <col min="4074" max="4074" width="13.28515625" customWidth="1"/>
    <col min="4076" max="4076" width="2.7109375" customWidth="1"/>
    <col min="4079" max="4079" width="34.5703125" bestFit="1" customWidth="1"/>
    <col min="4081" max="4081" width="19.7109375" bestFit="1" customWidth="1"/>
    <col min="4082" max="4082" width="6.140625" bestFit="1" customWidth="1"/>
    <col min="4084" max="4085" width="13.28515625" bestFit="1" customWidth="1"/>
    <col min="4087" max="4087" width="13.28515625" bestFit="1" customWidth="1"/>
    <col min="4088" max="4088" width="11.7109375" bestFit="1" customWidth="1"/>
    <col min="4089" max="4089" width="2.7109375" customWidth="1"/>
    <col min="4090" max="4090" width="19.5703125" customWidth="1"/>
    <col min="4325" max="4325" width="4.28515625" bestFit="1" customWidth="1"/>
    <col min="4326" max="4326" width="59.85546875" customWidth="1"/>
    <col min="4328" max="4328" width="11.85546875" bestFit="1" customWidth="1"/>
    <col min="4329" max="4329" width="13.28515625" bestFit="1" customWidth="1"/>
    <col min="4330" max="4330" width="13.28515625" customWidth="1"/>
    <col min="4332" max="4332" width="2.7109375" customWidth="1"/>
    <col min="4335" max="4335" width="34.5703125" bestFit="1" customWidth="1"/>
    <col min="4337" max="4337" width="19.7109375" bestFit="1" customWidth="1"/>
    <col min="4338" max="4338" width="6.140625" bestFit="1" customWidth="1"/>
    <col min="4340" max="4341" width="13.28515625" bestFit="1" customWidth="1"/>
    <col min="4343" max="4343" width="13.28515625" bestFit="1" customWidth="1"/>
    <col min="4344" max="4344" width="11.7109375" bestFit="1" customWidth="1"/>
    <col min="4345" max="4345" width="2.7109375" customWidth="1"/>
    <col min="4346" max="4346" width="19.5703125" customWidth="1"/>
    <col min="4581" max="4581" width="4.28515625" bestFit="1" customWidth="1"/>
    <col min="4582" max="4582" width="59.85546875" customWidth="1"/>
    <col min="4584" max="4584" width="11.85546875" bestFit="1" customWidth="1"/>
    <col min="4585" max="4585" width="13.28515625" bestFit="1" customWidth="1"/>
    <col min="4586" max="4586" width="13.28515625" customWidth="1"/>
    <col min="4588" max="4588" width="2.7109375" customWidth="1"/>
    <col min="4591" max="4591" width="34.5703125" bestFit="1" customWidth="1"/>
    <col min="4593" max="4593" width="19.7109375" bestFit="1" customWidth="1"/>
    <col min="4594" max="4594" width="6.140625" bestFit="1" customWidth="1"/>
    <col min="4596" max="4597" width="13.28515625" bestFit="1" customWidth="1"/>
    <col min="4599" max="4599" width="13.28515625" bestFit="1" customWidth="1"/>
    <col min="4600" max="4600" width="11.7109375" bestFit="1" customWidth="1"/>
    <col min="4601" max="4601" width="2.7109375" customWidth="1"/>
    <col min="4602" max="4602" width="19.5703125" customWidth="1"/>
    <col min="4837" max="4837" width="4.28515625" bestFit="1" customWidth="1"/>
    <col min="4838" max="4838" width="59.85546875" customWidth="1"/>
    <col min="4840" max="4840" width="11.85546875" bestFit="1" customWidth="1"/>
    <col min="4841" max="4841" width="13.28515625" bestFit="1" customWidth="1"/>
    <col min="4842" max="4842" width="13.28515625" customWidth="1"/>
    <col min="4844" max="4844" width="2.7109375" customWidth="1"/>
    <col min="4847" max="4847" width="34.5703125" bestFit="1" customWidth="1"/>
    <col min="4849" max="4849" width="19.7109375" bestFit="1" customWidth="1"/>
    <col min="4850" max="4850" width="6.140625" bestFit="1" customWidth="1"/>
    <col min="4852" max="4853" width="13.28515625" bestFit="1" customWidth="1"/>
    <col min="4855" max="4855" width="13.28515625" bestFit="1" customWidth="1"/>
    <col min="4856" max="4856" width="11.7109375" bestFit="1" customWidth="1"/>
    <col min="4857" max="4857" width="2.7109375" customWidth="1"/>
    <col min="4858" max="4858" width="19.5703125" customWidth="1"/>
    <col min="5093" max="5093" width="4.28515625" bestFit="1" customWidth="1"/>
    <col min="5094" max="5094" width="59.85546875" customWidth="1"/>
    <col min="5096" max="5096" width="11.85546875" bestFit="1" customWidth="1"/>
    <col min="5097" max="5097" width="13.28515625" bestFit="1" customWidth="1"/>
    <col min="5098" max="5098" width="13.28515625" customWidth="1"/>
    <col min="5100" max="5100" width="2.7109375" customWidth="1"/>
    <col min="5103" max="5103" width="34.5703125" bestFit="1" customWidth="1"/>
    <col min="5105" max="5105" width="19.7109375" bestFit="1" customWidth="1"/>
    <col min="5106" max="5106" width="6.140625" bestFit="1" customWidth="1"/>
    <col min="5108" max="5109" width="13.28515625" bestFit="1" customWidth="1"/>
    <col min="5111" max="5111" width="13.28515625" bestFit="1" customWidth="1"/>
    <col min="5112" max="5112" width="11.7109375" bestFit="1" customWidth="1"/>
    <col min="5113" max="5113" width="2.7109375" customWidth="1"/>
    <col min="5114" max="5114" width="19.5703125" customWidth="1"/>
    <col min="5349" max="5349" width="4.28515625" bestFit="1" customWidth="1"/>
    <col min="5350" max="5350" width="59.85546875" customWidth="1"/>
    <col min="5352" max="5352" width="11.85546875" bestFit="1" customWidth="1"/>
    <col min="5353" max="5353" width="13.28515625" bestFit="1" customWidth="1"/>
    <col min="5354" max="5354" width="13.28515625" customWidth="1"/>
    <col min="5356" max="5356" width="2.7109375" customWidth="1"/>
    <col min="5359" max="5359" width="34.5703125" bestFit="1" customWidth="1"/>
    <col min="5361" max="5361" width="19.7109375" bestFit="1" customWidth="1"/>
    <col min="5362" max="5362" width="6.140625" bestFit="1" customWidth="1"/>
    <col min="5364" max="5365" width="13.28515625" bestFit="1" customWidth="1"/>
    <col min="5367" max="5367" width="13.28515625" bestFit="1" customWidth="1"/>
    <col min="5368" max="5368" width="11.7109375" bestFit="1" customWidth="1"/>
    <col min="5369" max="5369" width="2.7109375" customWidth="1"/>
    <col min="5370" max="5370" width="19.5703125" customWidth="1"/>
    <col min="5605" max="5605" width="4.28515625" bestFit="1" customWidth="1"/>
    <col min="5606" max="5606" width="59.85546875" customWidth="1"/>
    <col min="5608" max="5608" width="11.85546875" bestFit="1" customWidth="1"/>
    <col min="5609" max="5609" width="13.28515625" bestFit="1" customWidth="1"/>
    <col min="5610" max="5610" width="13.28515625" customWidth="1"/>
    <col min="5612" max="5612" width="2.7109375" customWidth="1"/>
    <col min="5615" max="5615" width="34.5703125" bestFit="1" customWidth="1"/>
    <col min="5617" max="5617" width="19.7109375" bestFit="1" customWidth="1"/>
    <col min="5618" max="5618" width="6.140625" bestFit="1" customWidth="1"/>
    <col min="5620" max="5621" width="13.28515625" bestFit="1" customWidth="1"/>
    <col min="5623" max="5623" width="13.28515625" bestFit="1" customWidth="1"/>
    <col min="5624" max="5624" width="11.7109375" bestFit="1" customWidth="1"/>
    <col min="5625" max="5625" width="2.7109375" customWidth="1"/>
    <col min="5626" max="5626" width="19.5703125" customWidth="1"/>
    <col min="5861" max="5861" width="4.28515625" bestFit="1" customWidth="1"/>
    <col min="5862" max="5862" width="59.85546875" customWidth="1"/>
    <col min="5864" max="5864" width="11.85546875" bestFit="1" customWidth="1"/>
    <col min="5865" max="5865" width="13.28515625" bestFit="1" customWidth="1"/>
    <col min="5866" max="5866" width="13.28515625" customWidth="1"/>
    <col min="5868" max="5868" width="2.7109375" customWidth="1"/>
    <col min="5871" max="5871" width="34.5703125" bestFit="1" customWidth="1"/>
    <col min="5873" max="5873" width="19.7109375" bestFit="1" customWidth="1"/>
    <col min="5874" max="5874" width="6.140625" bestFit="1" customWidth="1"/>
    <col min="5876" max="5877" width="13.28515625" bestFit="1" customWidth="1"/>
    <col min="5879" max="5879" width="13.28515625" bestFit="1" customWidth="1"/>
    <col min="5880" max="5880" width="11.7109375" bestFit="1" customWidth="1"/>
    <col min="5881" max="5881" width="2.7109375" customWidth="1"/>
    <col min="5882" max="5882" width="19.5703125" customWidth="1"/>
    <col min="6117" max="6117" width="4.28515625" bestFit="1" customWidth="1"/>
    <col min="6118" max="6118" width="59.85546875" customWidth="1"/>
    <col min="6120" max="6120" width="11.85546875" bestFit="1" customWidth="1"/>
    <col min="6121" max="6121" width="13.28515625" bestFit="1" customWidth="1"/>
    <col min="6122" max="6122" width="13.28515625" customWidth="1"/>
    <col min="6124" max="6124" width="2.7109375" customWidth="1"/>
    <col min="6127" max="6127" width="34.5703125" bestFit="1" customWidth="1"/>
    <col min="6129" max="6129" width="19.7109375" bestFit="1" customWidth="1"/>
    <col min="6130" max="6130" width="6.140625" bestFit="1" customWidth="1"/>
    <col min="6132" max="6133" width="13.28515625" bestFit="1" customWidth="1"/>
    <col min="6135" max="6135" width="13.28515625" bestFit="1" customWidth="1"/>
    <col min="6136" max="6136" width="11.7109375" bestFit="1" customWidth="1"/>
    <col min="6137" max="6137" width="2.7109375" customWidth="1"/>
    <col min="6138" max="6138" width="19.5703125" customWidth="1"/>
    <col min="6373" max="6373" width="4.28515625" bestFit="1" customWidth="1"/>
    <col min="6374" max="6374" width="59.85546875" customWidth="1"/>
    <col min="6376" max="6376" width="11.85546875" bestFit="1" customWidth="1"/>
    <col min="6377" max="6377" width="13.28515625" bestFit="1" customWidth="1"/>
    <col min="6378" max="6378" width="13.28515625" customWidth="1"/>
    <col min="6380" max="6380" width="2.7109375" customWidth="1"/>
    <col min="6383" max="6383" width="34.5703125" bestFit="1" customWidth="1"/>
    <col min="6385" max="6385" width="19.7109375" bestFit="1" customWidth="1"/>
    <col min="6386" max="6386" width="6.140625" bestFit="1" customWidth="1"/>
    <col min="6388" max="6389" width="13.28515625" bestFit="1" customWidth="1"/>
    <col min="6391" max="6391" width="13.28515625" bestFit="1" customWidth="1"/>
    <col min="6392" max="6392" width="11.7109375" bestFit="1" customWidth="1"/>
    <col min="6393" max="6393" width="2.7109375" customWidth="1"/>
    <col min="6394" max="6394" width="19.5703125" customWidth="1"/>
    <col min="6629" max="6629" width="4.28515625" bestFit="1" customWidth="1"/>
    <col min="6630" max="6630" width="59.85546875" customWidth="1"/>
    <col min="6632" max="6632" width="11.85546875" bestFit="1" customWidth="1"/>
    <col min="6633" max="6633" width="13.28515625" bestFit="1" customWidth="1"/>
    <col min="6634" max="6634" width="13.28515625" customWidth="1"/>
    <col min="6636" max="6636" width="2.7109375" customWidth="1"/>
    <col min="6639" max="6639" width="34.5703125" bestFit="1" customWidth="1"/>
    <col min="6641" max="6641" width="19.7109375" bestFit="1" customWidth="1"/>
    <col min="6642" max="6642" width="6.140625" bestFit="1" customWidth="1"/>
    <col min="6644" max="6645" width="13.28515625" bestFit="1" customWidth="1"/>
    <col min="6647" max="6647" width="13.28515625" bestFit="1" customWidth="1"/>
    <col min="6648" max="6648" width="11.7109375" bestFit="1" customWidth="1"/>
    <col min="6649" max="6649" width="2.7109375" customWidth="1"/>
    <col min="6650" max="6650" width="19.5703125" customWidth="1"/>
    <col min="6885" max="6885" width="4.28515625" bestFit="1" customWidth="1"/>
    <col min="6886" max="6886" width="59.85546875" customWidth="1"/>
    <col min="6888" max="6888" width="11.85546875" bestFit="1" customWidth="1"/>
    <col min="6889" max="6889" width="13.28515625" bestFit="1" customWidth="1"/>
    <col min="6890" max="6890" width="13.28515625" customWidth="1"/>
    <col min="6892" max="6892" width="2.7109375" customWidth="1"/>
    <col min="6895" max="6895" width="34.5703125" bestFit="1" customWidth="1"/>
    <col min="6897" max="6897" width="19.7109375" bestFit="1" customWidth="1"/>
    <col min="6898" max="6898" width="6.140625" bestFit="1" customWidth="1"/>
    <col min="6900" max="6901" width="13.28515625" bestFit="1" customWidth="1"/>
    <col min="6903" max="6903" width="13.28515625" bestFit="1" customWidth="1"/>
    <col min="6904" max="6904" width="11.7109375" bestFit="1" customWidth="1"/>
    <col min="6905" max="6905" width="2.7109375" customWidth="1"/>
    <col min="6906" max="6906" width="19.5703125" customWidth="1"/>
    <col min="7141" max="7141" width="4.28515625" bestFit="1" customWidth="1"/>
    <col min="7142" max="7142" width="59.85546875" customWidth="1"/>
    <col min="7144" max="7144" width="11.85546875" bestFit="1" customWidth="1"/>
    <col min="7145" max="7145" width="13.28515625" bestFit="1" customWidth="1"/>
    <col min="7146" max="7146" width="13.28515625" customWidth="1"/>
    <col min="7148" max="7148" width="2.7109375" customWidth="1"/>
    <col min="7151" max="7151" width="34.5703125" bestFit="1" customWidth="1"/>
    <col min="7153" max="7153" width="19.7109375" bestFit="1" customWidth="1"/>
    <col min="7154" max="7154" width="6.140625" bestFit="1" customWidth="1"/>
    <col min="7156" max="7157" width="13.28515625" bestFit="1" customWidth="1"/>
    <col min="7159" max="7159" width="13.28515625" bestFit="1" customWidth="1"/>
    <col min="7160" max="7160" width="11.7109375" bestFit="1" customWidth="1"/>
    <col min="7161" max="7161" width="2.7109375" customWidth="1"/>
    <col min="7162" max="7162" width="19.5703125" customWidth="1"/>
    <col min="7397" max="7397" width="4.28515625" bestFit="1" customWidth="1"/>
    <col min="7398" max="7398" width="59.85546875" customWidth="1"/>
    <col min="7400" max="7400" width="11.85546875" bestFit="1" customWidth="1"/>
    <col min="7401" max="7401" width="13.28515625" bestFit="1" customWidth="1"/>
    <col min="7402" max="7402" width="13.28515625" customWidth="1"/>
    <col min="7404" max="7404" width="2.7109375" customWidth="1"/>
    <col min="7407" max="7407" width="34.5703125" bestFit="1" customWidth="1"/>
    <col min="7409" max="7409" width="19.7109375" bestFit="1" customWidth="1"/>
    <col min="7410" max="7410" width="6.140625" bestFit="1" customWidth="1"/>
    <col min="7412" max="7413" width="13.28515625" bestFit="1" customWidth="1"/>
    <col min="7415" max="7415" width="13.28515625" bestFit="1" customWidth="1"/>
    <col min="7416" max="7416" width="11.7109375" bestFit="1" customWidth="1"/>
    <col min="7417" max="7417" width="2.7109375" customWidth="1"/>
    <col min="7418" max="7418" width="19.5703125" customWidth="1"/>
    <col min="7653" max="7653" width="4.28515625" bestFit="1" customWidth="1"/>
    <col min="7654" max="7654" width="59.85546875" customWidth="1"/>
    <col min="7656" max="7656" width="11.85546875" bestFit="1" customWidth="1"/>
    <col min="7657" max="7657" width="13.28515625" bestFit="1" customWidth="1"/>
    <col min="7658" max="7658" width="13.28515625" customWidth="1"/>
    <col min="7660" max="7660" width="2.7109375" customWidth="1"/>
    <col min="7663" max="7663" width="34.5703125" bestFit="1" customWidth="1"/>
    <col min="7665" max="7665" width="19.7109375" bestFit="1" customWidth="1"/>
    <col min="7666" max="7666" width="6.140625" bestFit="1" customWidth="1"/>
    <col min="7668" max="7669" width="13.28515625" bestFit="1" customWidth="1"/>
    <col min="7671" max="7671" width="13.28515625" bestFit="1" customWidth="1"/>
    <col min="7672" max="7672" width="11.7109375" bestFit="1" customWidth="1"/>
    <col min="7673" max="7673" width="2.7109375" customWidth="1"/>
    <col min="7674" max="7674" width="19.5703125" customWidth="1"/>
    <col min="7909" max="7909" width="4.28515625" bestFit="1" customWidth="1"/>
    <col min="7910" max="7910" width="59.85546875" customWidth="1"/>
    <col min="7912" max="7912" width="11.85546875" bestFit="1" customWidth="1"/>
    <col min="7913" max="7913" width="13.28515625" bestFit="1" customWidth="1"/>
    <col min="7914" max="7914" width="13.28515625" customWidth="1"/>
    <col min="7916" max="7916" width="2.7109375" customWidth="1"/>
    <col min="7919" max="7919" width="34.5703125" bestFit="1" customWidth="1"/>
    <col min="7921" max="7921" width="19.7109375" bestFit="1" customWidth="1"/>
    <col min="7922" max="7922" width="6.140625" bestFit="1" customWidth="1"/>
    <col min="7924" max="7925" width="13.28515625" bestFit="1" customWidth="1"/>
    <col min="7927" max="7927" width="13.28515625" bestFit="1" customWidth="1"/>
    <col min="7928" max="7928" width="11.7109375" bestFit="1" customWidth="1"/>
    <col min="7929" max="7929" width="2.7109375" customWidth="1"/>
    <col min="7930" max="7930" width="19.5703125" customWidth="1"/>
    <col min="8165" max="8165" width="4.28515625" bestFit="1" customWidth="1"/>
    <col min="8166" max="8166" width="59.85546875" customWidth="1"/>
    <col min="8168" max="8168" width="11.85546875" bestFit="1" customWidth="1"/>
    <col min="8169" max="8169" width="13.28515625" bestFit="1" customWidth="1"/>
    <col min="8170" max="8170" width="13.28515625" customWidth="1"/>
    <col min="8172" max="8172" width="2.7109375" customWidth="1"/>
    <col min="8175" max="8175" width="34.5703125" bestFit="1" customWidth="1"/>
    <col min="8177" max="8177" width="19.7109375" bestFit="1" customWidth="1"/>
    <col min="8178" max="8178" width="6.140625" bestFit="1" customWidth="1"/>
    <col min="8180" max="8181" width="13.28515625" bestFit="1" customWidth="1"/>
    <col min="8183" max="8183" width="13.28515625" bestFit="1" customWidth="1"/>
    <col min="8184" max="8184" width="11.7109375" bestFit="1" customWidth="1"/>
    <col min="8185" max="8185" width="2.7109375" customWidth="1"/>
    <col min="8186" max="8186" width="19.5703125" customWidth="1"/>
    <col min="8421" max="8421" width="4.28515625" bestFit="1" customWidth="1"/>
    <col min="8422" max="8422" width="59.85546875" customWidth="1"/>
    <col min="8424" max="8424" width="11.85546875" bestFit="1" customWidth="1"/>
    <col min="8425" max="8425" width="13.28515625" bestFit="1" customWidth="1"/>
    <col min="8426" max="8426" width="13.28515625" customWidth="1"/>
    <col min="8428" max="8428" width="2.7109375" customWidth="1"/>
    <col min="8431" max="8431" width="34.5703125" bestFit="1" customWidth="1"/>
    <col min="8433" max="8433" width="19.7109375" bestFit="1" customWidth="1"/>
    <col min="8434" max="8434" width="6.140625" bestFit="1" customWidth="1"/>
    <col min="8436" max="8437" width="13.28515625" bestFit="1" customWidth="1"/>
    <col min="8439" max="8439" width="13.28515625" bestFit="1" customWidth="1"/>
    <col min="8440" max="8440" width="11.7109375" bestFit="1" customWidth="1"/>
    <col min="8441" max="8441" width="2.7109375" customWidth="1"/>
    <col min="8442" max="8442" width="19.5703125" customWidth="1"/>
    <col min="8677" max="8677" width="4.28515625" bestFit="1" customWidth="1"/>
    <col min="8678" max="8678" width="59.85546875" customWidth="1"/>
    <col min="8680" max="8680" width="11.85546875" bestFit="1" customWidth="1"/>
    <col min="8681" max="8681" width="13.28515625" bestFit="1" customWidth="1"/>
    <col min="8682" max="8682" width="13.28515625" customWidth="1"/>
    <col min="8684" max="8684" width="2.7109375" customWidth="1"/>
    <col min="8687" max="8687" width="34.5703125" bestFit="1" customWidth="1"/>
    <col min="8689" max="8689" width="19.7109375" bestFit="1" customWidth="1"/>
    <col min="8690" max="8690" width="6.140625" bestFit="1" customWidth="1"/>
    <col min="8692" max="8693" width="13.28515625" bestFit="1" customWidth="1"/>
    <col min="8695" max="8695" width="13.28515625" bestFit="1" customWidth="1"/>
    <col min="8696" max="8696" width="11.7109375" bestFit="1" customWidth="1"/>
    <col min="8697" max="8697" width="2.7109375" customWidth="1"/>
    <col min="8698" max="8698" width="19.5703125" customWidth="1"/>
    <col min="8933" max="8933" width="4.28515625" bestFit="1" customWidth="1"/>
    <col min="8934" max="8934" width="59.85546875" customWidth="1"/>
    <col min="8936" max="8936" width="11.85546875" bestFit="1" customWidth="1"/>
    <col min="8937" max="8937" width="13.28515625" bestFit="1" customWidth="1"/>
    <col min="8938" max="8938" width="13.28515625" customWidth="1"/>
    <col min="8940" max="8940" width="2.7109375" customWidth="1"/>
    <col min="8943" max="8943" width="34.5703125" bestFit="1" customWidth="1"/>
    <col min="8945" max="8945" width="19.7109375" bestFit="1" customWidth="1"/>
    <col min="8946" max="8946" width="6.140625" bestFit="1" customWidth="1"/>
    <col min="8948" max="8949" width="13.28515625" bestFit="1" customWidth="1"/>
    <col min="8951" max="8951" width="13.28515625" bestFit="1" customWidth="1"/>
    <col min="8952" max="8952" width="11.7109375" bestFit="1" customWidth="1"/>
    <col min="8953" max="8953" width="2.7109375" customWidth="1"/>
    <col min="8954" max="8954" width="19.5703125" customWidth="1"/>
    <col min="9189" max="9189" width="4.28515625" bestFit="1" customWidth="1"/>
    <col min="9190" max="9190" width="59.85546875" customWidth="1"/>
    <col min="9192" max="9192" width="11.85546875" bestFit="1" customWidth="1"/>
    <col min="9193" max="9193" width="13.28515625" bestFit="1" customWidth="1"/>
    <col min="9194" max="9194" width="13.28515625" customWidth="1"/>
    <col min="9196" max="9196" width="2.7109375" customWidth="1"/>
    <col min="9199" max="9199" width="34.5703125" bestFit="1" customWidth="1"/>
    <col min="9201" max="9201" width="19.7109375" bestFit="1" customWidth="1"/>
    <col min="9202" max="9202" width="6.140625" bestFit="1" customWidth="1"/>
    <col min="9204" max="9205" width="13.28515625" bestFit="1" customWidth="1"/>
    <col min="9207" max="9207" width="13.28515625" bestFit="1" customWidth="1"/>
    <col min="9208" max="9208" width="11.7109375" bestFit="1" customWidth="1"/>
    <col min="9209" max="9209" width="2.7109375" customWidth="1"/>
    <col min="9210" max="9210" width="19.5703125" customWidth="1"/>
    <col min="9445" max="9445" width="4.28515625" bestFit="1" customWidth="1"/>
    <col min="9446" max="9446" width="59.85546875" customWidth="1"/>
    <col min="9448" max="9448" width="11.85546875" bestFit="1" customWidth="1"/>
    <col min="9449" max="9449" width="13.28515625" bestFit="1" customWidth="1"/>
    <col min="9450" max="9450" width="13.28515625" customWidth="1"/>
    <col min="9452" max="9452" width="2.7109375" customWidth="1"/>
    <col min="9455" max="9455" width="34.5703125" bestFit="1" customWidth="1"/>
    <col min="9457" max="9457" width="19.7109375" bestFit="1" customWidth="1"/>
    <col min="9458" max="9458" width="6.140625" bestFit="1" customWidth="1"/>
    <col min="9460" max="9461" width="13.28515625" bestFit="1" customWidth="1"/>
    <col min="9463" max="9463" width="13.28515625" bestFit="1" customWidth="1"/>
    <col min="9464" max="9464" width="11.7109375" bestFit="1" customWidth="1"/>
    <col min="9465" max="9465" width="2.7109375" customWidth="1"/>
    <col min="9466" max="9466" width="19.5703125" customWidth="1"/>
    <col min="9701" max="9701" width="4.28515625" bestFit="1" customWidth="1"/>
    <col min="9702" max="9702" width="59.85546875" customWidth="1"/>
    <col min="9704" max="9704" width="11.85546875" bestFit="1" customWidth="1"/>
    <col min="9705" max="9705" width="13.28515625" bestFit="1" customWidth="1"/>
    <col min="9706" max="9706" width="13.28515625" customWidth="1"/>
    <col min="9708" max="9708" width="2.7109375" customWidth="1"/>
    <col min="9711" max="9711" width="34.5703125" bestFit="1" customWidth="1"/>
    <col min="9713" max="9713" width="19.7109375" bestFit="1" customWidth="1"/>
    <col min="9714" max="9714" width="6.140625" bestFit="1" customWidth="1"/>
    <col min="9716" max="9717" width="13.28515625" bestFit="1" customWidth="1"/>
    <col min="9719" max="9719" width="13.28515625" bestFit="1" customWidth="1"/>
    <col min="9720" max="9720" width="11.7109375" bestFit="1" customWidth="1"/>
    <col min="9721" max="9721" width="2.7109375" customWidth="1"/>
    <col min="9722" max="9722" width="19.5703125" customWidth="1"/>
    <col min="9957" max="9957" width="4.28515625" bestFit="1" customWidth="1"/>
    <col min="9958" max="9958" width="59.85546875" customWidth="1"/>
    <col min="9960" max="9960" width="11.85546875" bestFit="1" customWidth="1"/>
    <col min="9961" max="9961" width="13.28515625" bestFit="1" customWidth="1"/>
    <col min="9962" max="9962" width="13.28515625" customWidth="1"/>
    <col min="9964" max="9964" width="2.7109375" customWidth="1"/>
    <col min="9967" max="9967" width="34.5703125" bestFit="1" customWidth="1"/>
    <col min="9969" max="9969" width="19.7109375" bestFit="1" customWidth="1"/>
    <col min="9970" max="9970" width="6.140625" bestFit="1" customWidth="1"/>
    <col min="9972" max="9973" width="13.28515625" bestFit="1" customWidth="1"/>
    <col min="9975" max="9975" width="13.28515625" bestFit="1" customWidth="1"/>
    <col min="9976" max="9976" width="11.7109375" bestFit="1" customWidth="1"/>
    <col min="9977" max="9977" width="2.7109375" customWidth="1"/>
    <col min="9978" max="9978" width="19.5703125" customWidth="1"/>
    <col min="10213" max="10213" width="4.28515625" bestFit="1" customWidth="1"/>
    <col min="10214" max="10214" width="59.85546875" customWidth="1"/>
    <col min="10216" max="10216" width="11.85546875" bestFit="1" customWidth="1"/>
    <col min="10217" max="10217" width="13.28515625" bestFit="1" customWidth="1"/>
    <col min="10218" max="10218" width="13.28515625" customWidth="1"/>
    <col min="10220" max="10220" width="2.7109375" customWidth="1"/>
    <col min="10223" max="10223" width="34.5703125" bestFit="1" customWidth="1"/>
    <col min="10225" max="10225" width="19.7109375" bestFit="1" customWidth="1"/>
    <col min="10226" max="10226" width="6.140625" bestFit="1" customWidth="1"/>
    <col min="10228" max="10229" width="13.28515625" bestFit="1" customWidth="1"/>
    <col min="10231" max="10231" width="13.28515625" bestFit="1" customWidth="1"/>
    <col min="10232" max="10232" width="11.7109375" bestFit="1" customWidth="1"/>
    <col min="10233" max="10233" width="2.7109375" customWidth="1"/>
    <col min="10234" max="10234" width="19.5703125" customWidth="1"/>
    <col min="10469" max="10469" width="4.28515625" bestFit="1" customWidth="1"/>
    <col min="10470" max="10470" width="59.85546875" customWidth="1"/>
    <col min="10472" max="10472" width="11.85546875" bestFit="1" customWidth="1"/>
    <col min="10473" max="10473" width="13.28515625" bestFit="1" customWidth="1"/>
    <col min="10474" max="10474" width="13.28515625" customWidth="1"/>
    <col min="10476" max="10476" width="2.7109375" customWidth="1"/>
    <col min="10479" max="10479" width="34.5703125" bestFit="1" customWidth="1"/>
    <col min="10481" max="10481" width="19.7109375" bestFit="1" customWidth="1"/>
    <col min="10482" max="10482" width="6.140625" bestFit="1" customWidth="1"/>
    <col min="10484" max="10485" width="13.28515625" bestFit="1" customWidth="1"/>
    <col min="10487" max="10487" width="13.28515625" bestFit="1" customWidth="1"/>
    <col min="10488" max="10488" width="11.7109375" bestFit="1" customWidth="1"/>
    <col min="10489" max="10489" width="2.7109375" customWidth="1"/>
    <col min="10490" max="10490" width="19.5703125" customWidth="1"/>
    <col min="10725" max="10725" width="4.28515625" bestFit="1" customWidth="1"/>
    <col min="10726" max="10726" width="59.85546875" customWidth="1"/>
    <col min="10728" max="10728" width="11.85546875" bestFit="1" customWidth="1"/>
    <col min="10729" max="10729" width="13.28515625" bestFit="1" customWidth="1"/>
    <col min="10730" max="10730" width="13.28515625" customWidth="1"/>
    <col min="10732" max="10732" width="2.7109375" customWidth="1"/>
    <col min="10735" max="10735" width="34.5703125" bestFit="1" customWidth="1"/>
    <col min="10737" max="10737" width="19.7109375" bestFit="1" customWidth="1"/>
    <col min="10738" max="10738" width="6.140625" bestFit="1" customWidth="1"/>
    <col min="10740" max="10741" width="13.28515625" bestFit="1" customWidth="1"/>
    <col min="10743" max="10743" width="13.28515625" bestFit="1" customWidth="1"/>
    <col min="10744" max="10744" width="11.7109375" bestFit="1" customWidth="1"/>
    <col min="10745" max="10745" width="2.7109375" customWidth="1"/>
    <col min="10746" max="10746" width="19.5703125" customWidth="1"/>
    <col min="10981" max="10981" width="4.28515625" bestFit="1" customWidth="1"/>
    <col min="10982" max="10982" width="59.85546875" customWidth="1"/>
    <col min="10984" max="10984" width="11.85546875" bestFit="1" customWidth="1"/>
    <col min="10985" max="10985" width="13.28515625" bestFit="1" customWidth="1"/>
    <col min="10986" max="10986" width="13.28515625" customWidth="1"/>
    <col min="10988" max="10988" width="2.7109375" customWidth="1"/>
    <col min="10991" max="10991" width="34.5703125" bestFit="1" customWidth="1"/>
    <col min="10993" max="10993" width="19.7109375" bestFit="1" customWidth="1"/>
    <col min="10994" max="10994" width="6.140625" bestFit="1" customWidth="1"/>
    <col min="10996" max="10997" width="13.28515625" bestFit="1" customWidth="1"/>
    <col min="10999" max="10999" width="13.28515625" bestFit="1" customWidth="1"/>
    <col min="11000" max="11000" width="11.7109375" bestFit="1" customWidth="1"/>
    <col min="11001" max="11001" width="2.7109375" customWidth="1"/>
    <col min="11002" max="11002" width="19.5703125" customWidth="1"/>
    <col min="11237" max="11237" width="4.28515625" bestFit="1" customWidth="1"/>
    <col min="11238" max="11238" width="59.85546875" customWidth="1"/>
    <col min="11240" max="11240" width="11.85546875" bestFit="1" customWidth="1"/>
    <col min="11241" max="11241" width="13.28515625" bestFit="1" customWidth="1"/>
    <col min="11242" max="11242" width="13.28515625" customWidth="1"/>
    <col min="11244" max="11244" width="2.7109375" customWidth="1"/>
    <col min="11247" max="11247" width="34.5703125" bestFit="1" customWidth="1"/>
    <col min="11249" max="11249" width="19.7109375" bestFit="1" customWidth="1"/>
    <col min="11250" max="11250" width="6.140625" bestFit="1" customWidth="1"/>
    <col min="11252" max="11253" width="13.28515625" bestFit="1" customWidth="1"/>
    <col min="11255" max="11255" width="13.28515625" bestFit="1" customWidth="1"/>
    <col min="11256" max="11256" width="11.7109375" bestFit="1" customWidth="1"/>
    <col min="11257" max="11257" width="2.7109375" customWidth="1"/>
    <col min="11258" max="11258" width="19.5703125" customWidth="1"/>
    <col min="11493" max="11493" width="4.28515625" bestFit="1" customWidth="1"/>
    <col min="11494" max="11494" width="59.85546875" customWidth="1"/>
    <col min="11496" max="11496" width="11.85546875" bestFit="1" customWidth="1"/>
    <col min="11497" max="11497" width="13.28515625" bestFit="1" customWidth="1"/>
    <col min="11498" max="11498" width="13.28515625" customWidth="1"/>
    <col min="11500" max="11500" width="2.7109375" customWidth="1"/>
    <col min="11503" max="11503" width="34.5703125" bestFit="1" customWidth="1"/>
    <col min="11505" max="11505" width="19.7109375" bestFit="1" customWidth="1"/>
    <col min="11506" max="11506" width="6.140625" bestFit="1" customWidth="1"/>
    <col min="11508" max="11509" width="13.28515625" bestFit="1" customWidth="1"/>
    <col min="11511" max="11511" width="13.28515625" bestFit="1" customWidth="1"/>
    <col min="11512" max="11512" width="11.7109375" bestFit="1" customWidth="1"/>
    <col min="11513" max="11513" width="2.7109375" customWidth="1"/>
    <col min="11514" max="11514" width="19.5703125" customWidth="1"/>
    <col min="11749" max="11749" width="4.28515625" bestFit="1" customWidth="1"/>
    <col min="11750" max="11750" width="59.85546875" customWidth="1"/>
    <col min="11752" max="11752" width="11.85546875" bestFit="1" customWidth="1"/>
    <col min="11753" max="11753" width="13.28515625" bestFit="1" customWidth="1"/>
    <col min="11754" max="11754" width="13.28515625" customWidth="1"/>
    <col min="11756" max="11756" width="2.7109375" customWidth="1"/>
    <col min="11759" max="11759" width="34.5703125" bestFit="1" customWidth="1"/>
    <col min="11761" max="11761" width="19.7109375" bestFit="1" customWidth="1"/>
    <col min="11762" max="11762" width="6.140625" bestFit="1" customWidth="1"/>
    <col min="11764" max="11765" width="13.28515625" bestFit="1" customWidth="1"/>
    <col min="11767" max="11767" width="13.28515625" bestFit="1" customWidth="1"/>
    <col min="11768" max="11768" width="11.7109375" bestFit="1" customWidth="1"/>
    <col min="11769" max="11769" width="2.7109375" customWidth="1"/>
    <col min="11770" max="11770" width="19.5703125" customWidth="1"/>
    <col min="12005" max="12005" width="4.28515625" bestFit="1" customWidth="1"/>
    <col min="12006" max="12006" width="59.85546875" customWidth="1"/>
    <col min="12008" max="12008" width="11.85546875" bestFit="1" customWidth="1"/>
    <col min="12009" max="12009" width="13.28515625" bestFit="1" customWidth="1"/>
    <col min="12010" max="12010" width="13.28515625" customWidth="1"/>
    <col min="12012" max="12012" width="2.7109375" customWidth="1"/>
    <col min="12015" max="12015" width="34.5703125" bestFit="1" customWidth="1"/>
    <col min="12017" max="12017" width="19.7109375" bestFit="1" customWidth="1"/>
    <col min="12018" max="12018" width="6.140625" bestFit="1" customWidth="1"/>
    <col min="12020" max="12021" width="13.28515625" bestFit="1" customWidth="1"/>
    <col min="12023" max="12023" width="13.28515625" bestFit="1" customWidth="1"/>
    <col min="12024" max="12024" width="11.7109375" bestFit="1" customWidth="1"/>
    <col min="12025" max="12025" width="2.7109375" customWidth="1"/>
    <col min="12026" max="12026" width="19.5703125" customWidth="1"/>
    <col min="12261" max="12261" width="4.28515625" bestFit="1" customWidth="1"/>
    <col min="12262" max="12262" width="59.85546875" customWidth="1"/>
    <col min="12264" max="12264" width="11.85546875" bestFit="1" customWidth="1"/>
    <col min="12265" max="12265" width="13.28515625" bestFit="1" customWidth="1"/>
    <col min="12266" max="12266" width="13.28515625" customWidth="1"/>
    <col min="12268" max="12268" width="2.7109375" customWidth="1"/>
    <col min="12271" max="12271" width="34.5703125" bestFit="1" customWidth="1"/>
    <col min="12273" max="12273" width="19.7109375" bestFit="1" customWidth="1"/>
    <col min="12274" max="12274" width="6.140625" bestFit="1" customWidth="1"/>
    <col min="12276" max="12277" width="13.28515625" bestFit="1" customWidth="1"/>
    <col min="12279" max="12279" width="13.28515625" bestFit="1" customWidth="1"/>
    <col min="12280" max="12280" width="11.7109375" bestFit="1" customWidth="1"/>
    <col min="12281" max="12281" width="2.7109375" customWidth="1"/>
    <col min="12282" max="12282" width="19.5703125" customWidth="1"/>
    <col min="12517" max="12517" width="4.28515625" bestFit="1" customWidth="1"/>
    <col min="12518" max="12518" width="59.85546875" customWidth="1"/>
    <col min="12520" max="12520" width="11.85546875" bestFit="1" customWidth="1"/>
    <col min="12521" max="12521" width="13.28515625" bestFit="1" customWidth="1"/>
    <col min="12522" max="12522" width="13.28515625" customWidth="1"/>
    <col min="12524" max="12524" width="2.7109375" customWidth="1"/>
    <col min="12527" max="12527" width="34.5703125" bestFit="1" customWidth="1"/>
    <col min="12529" max="12529" width="19.7109375" bestFit="1" customWidth="1"/>
    <col min="12530" max="12530" width="6.140625" bestFit="1" customWidth="1"/>
    <col min="12532" max="12533" width="13.28515625" bestFit="1" customWidth="1"/>
    <col min="12535" max="12535" width="13.28515625" bestFit="1" customWidth="1"/>
    <col min="12536" max="12536" width="11.7109375" bestFit="1" customWidth="1"/>
    <col min="12537" max="12537" width="2.7109375" customWidth="1"/>
    <col min="12538" max="12538" width="19.5703125" customWidth="1"/>
    <col min="12773" max="12773" width="4.28515625" bestFit="1" customWidth="1"/>
    <col min="12774" max="12774" width="59.85546875" customWidth="1"/>
    <col min="12776" max="12776" width="11.85546875" bestFit="1" customWidth="1"/>
    <col min="12777" max="12777" width="13.28515625" bestFit="1" customWidth="1"/>
    <col min="12778" max="12778" width="13.28515625" customWidth="1"/>
    <col min="12780" max="12780" width="2.7109375" customWidth="1"/>
    <col min="12783" max="12783" width="34.5703125" bestFit="1" customWidth="1"/>
    <col min="12785" max="12785" width="19.7109375" bestFit="1" customWidth="1"/>
    <col min="12786" max="12786" width="6.140625" bestFit="1" customWidth="1"/>
    <col min="12788" max="12789" width="13.28515625" bestFit="1" customWidth="1"/>
    <col min="12791" max="12791" width="13.28515625" bestFit="1" customWidth="1"/>
    <col min="12792" max="12792" width="11.7109375" bestFit="1" customWidth="1"/>
    <col min="12793" max="12793" width="2.7109375" customWidth="1"/>
    <col min="12794" max="12794" width="19.5703125" customWidth="1"/>
    <col min="13029" max="13029" width="4.28515625" bestFit="1" customWidth="1"/>
    <col min="13030" max="13030" width="59.85546875" customWidth="1"/>
    <col min="13032" max="13032" width="11.85546875" bestFit="1" customWidth="1"/>
    <col min="13033" max="13033" width="13.28515625" bestFit="1" customWidth="1"/>
    <col min="13034" max="13034" width="13.28515625" customWidth="1"/>
    <col min="13036" max="13036" width="2.7109375" customWidth="1"/>
    <col min="13039" max="13039" width="34.5703125" bestFit="1" customWidth="1"/>
    <col min="13041" max="13041" width="19.7109375" bestFit="1" customWidth="1"/>
    <col min="13042" max="13042" width="6.140625" bestFit="1" customWidth="1"/>
    <col min="13044" max="13045" width="13.28515625" bestFit="1" customWidth="1"/>
    <col min="13047" max="13047" width="13.28515625" bestFit="1" customWidth="1"/>
    <col min="13048" max="13048" width="11.7109375" bestFit="1" customWidth="1"/>
    <col min="13049" max="13049" width="2.7109375" customWidth="1"/>
    <col min="13050" max="13050" width="19.5703125" customWidth="1"/>
    <col min="13285" max="13285" width="4.28515625" bestFit="1" customWidth="1"/>
    <col min="13286" max="13286" width="59.85546875" customWidth="1"/>
    <col min="13288" max="13288" width="11.85546875" bestFit="1" customWidth="1"/>
    <col min="13289" max="13289" width="13.28515625" bestFit="1" customWidth="1"/>
    <col min="13290" max="13290" width="13.28515625" customWidth="1"/>
    <col min="13292" max="13292" width="2.7109375" customWidth="1"/>
    <col min="13295" max="13295" width="34.5703125" bestFit="1" customWidth="1"/>
    <col min="13297" max="13297" width="19.7109375" bestFit="1" customWidth="1"/>
    <col min="13298" max="13298" width="6.140625" bestFit="1" customWidth="1"/>
    <col min="13300" max="13301" width="13.28515625" bestFit="1" customWidth="1"/>
    <col min="13303" max="13303" width="13.28515625" bestFit="1" customWidth="1"/>
    <col min="13304" max="13304" width="11.7109375" bestFit="1" customWidth="1"/>
    <col min="13305" max="13305" width="2.7109375" customWidth="1"/>
    <col min="13306" max="13306" width="19.5703125" customWidth="1"/>
    <col min="13541" max="13541" width="4.28515625" bestFit="1" customWidth="1"/>
    <col min="13542" max="13542" width="59.85546875" customWidth="1"/>
    <col min="13544" max="13544" width="11.85546875" bestFit="1" customWidth="1"/>
    <col min="13545" max="13545" width="13.28515625" bestFit="1" customWidth="1"/>
    <col min="13546" max="13546" width="13.28515625" customWidth="1"/>
    <col min="13548" max="13548" width="2.7109375" customWidth="1"/>
    <col min="13551" max="13551" width="34.5703125" bestFit="1" customWidth="1"/>
    <col min="13553" max="13553" width="19.7109375" bestFit="1" customWidth="1"/>
    <col min="13554" max="13554" width="6.140625" bestFit="1" customWidth="1"/>
    <col min="13556" max="13557" width="13.28515625" bestFit="1" customWidth="1"/>
    <col min="13559" max="13559" width="13.28515625" bestFit="1" customWidth="1"/>
    <col min="13560" max="13560" width="11.7109375" bestFit="1" customWidth="1"/>
    <col min="13561" max="13561" width="2.7109375" customWidth="1"/>
    <col min="13562" max="13562" width="19.5703125" customWidth="1"/>
    <col min="13797" max="13797" width="4.28515625" bestFit="1" customWidth="1"/>
    <col min="13798" max="13798" width="59.85546875" customWidth="1"/>
    <col min="13800" max="13800" width="11.85546875" bestFit="1" customWidth="1"/>
    <col min="13801" max="13801" width="13.28515625" bestFit="1" customWidth="1"/>
    <col min="13802" max="13802" width="13.28515625" customWidth="1"/>
    <col min="13804" max="13804" width="2.7109375" customWidth="1"/>
    <col min="13807" max="13807" width="34.5703125" bestFit="1" customWidth="1"/>
    <col min="13809" max="13809" width="19.7109375" bestFit="1" customWidth="1"/>
    <col min="13810" max="13810" width="6.140625" bestFit="1" customWidth="1"/>
    <col min="13812" max="13813" width="13.28515625" bestFit="1" customWidth="1"/>
    <col min="13815" max="13815" width="13.28515625" bestFit="1" customWidth="1"/>
    <col min="13816" max="13816" width="11.7109375" bestFit="1" customWidth="1"/>
    <col min="13817" max="13817" width="2.7109375" customWidth="1"/>
    <col min="13818" max="13818" width="19.5703125" customWidth="1"/>
    <col min="14053" max="14053" width="4.28515625" bestFit="1" customWidth="1"/>
    <col min="14054" max="14054" width="59.85546875" customWidth="1"/>
    <col min="14056" max="14056" width="11.85546875" bestFit="1" customWidth="1"/>
    <col min="14057" max="14057" width="13.28515625" bestFit="1" customWidth="1"/>
    <col min="14058" max="14058" width="13.28515625" customWidth="1"/>
    <col min="14060" max="14060" width="2.7109375" customWidth="1"/>
    <col min="14063" max="14063" width="34.5703125" bestFit="1" customWidth="1"/>
    <col min="14065" max="14065" width="19.7109375" bestFit="1" customWidth="1"/>
    <col min="14066" max="14066" width="6.140625" bestFit="1" customWidth="1"/>
    <col min="14068" max="14069" width="13.28515625" bestFit="1" customWidth="1"/>
    <col min="14071" max="14071" width="13.28515625" bestFit="1" customWidth="1"/>
    <col min="14072" max="14072" width="11.7109375" bestFit="1" customWidth="1"/>
    <col min="14073" max="14073" width="2.7109375" customWidth="1"/>
    <col min="14074" max="14074" width="19.5703125" customWidth="1"/>
    <col min="14309" max="14309" width="4.28515625" bestFit="1" customWidth="1"/>
    <col min="14310" max="14310" width="59.85546875" customWidth="1"/>
    <col min="14312" max="14312" width="11.85546875" bestFit="1" customWidth="1"/>
    <col min="14313" max="14313" width="13.28515625" bestFit="1" customWidth="1"/>
    <col min="14314" max="14314" width="13.28515625" customWidth="1"/>
    <col min="14316" max="14316" width="2.7109375" customWidth="1"/>
    <col min="14319" max="14319" width="34.5703125" bestFit="1" customWidth="1"/>
    <col min="14321" max="14321" width="19.7109375" bestFit="1" customWidth="1"/>
    <col min="14322" max="14322" width="6.140625" bestFit="1" customWidth="1"/>
    <col min="14324" max="14325" width="13.28515625" bestFit="1" customWidth="1"/>
    <col min="14327" max="14327" width="13.28515625" bestFit="1" customWidth="1"/>
    <col min="14328" max="14328" width="11.7109375" bestFit="1" customWidth="1"/>
    <col min="14329" max="14329" width="2.7109375" customWidth="1"/>
    <col min="14330" max="14330" width="19.5703125" customWidth="1"/>
    <col min="14565" max="14565" width="4.28515625" bestFit="1" customWidth="1"/>
    <col min="14566" max="14566" width="59.85546875" customWidth="1"/>
    <col min="14568" max="14568" width="11.85546875" bestFit="1" customWidth="1"/>
    <col min="14569" max="14569" width="13.28515625" bestFit="1" customWidth="1"/>
    <col min="14570" max="14570" width="13.28515625" customWidth="1"/>
    <col min="14572" max="14572" width="2.7109375" customWidth="1"/>
    <col min="14575" max="14575" width="34.5703125" bestFit="1" customWidth="1"/>
    <col min="14577" max="14577" width="19.7109375" bestFit="1" customWidth="1"/>
    <col min="14578" max="14578" width="6.140625" bestFit="1" customWidth="1"/>
    <col min="14580" max="14581" width="13.28515625" bestFit="1" customWidth="1"/>
    <col min="14583" max="14583" width="13.28515625" bestFit="1" customWidth="1"/>
    <col min="14584" max="14584" width="11.7109375" bestFit="1" customWidth="1"/>
    <col min="14585" max="14585" width="2.7109375" customWidth="1"/>
    <col min="14586" max="14586" width="19.5703125" customWidth="1"/>
    <col min="14821" max="14821" width="4.28515625" bestFit="1" customWidth="1"/>
    <col min="14822" max="14822" width="59.85546875" customWidth="1"/>
    <col min="14824" max="14824" width="11.85546875" bestFit="1" customWidth="1"/>
    <col min="14825" max="14825" width="13.28515625" bestFit="1" customWidth="1"/>
    <col min="14826" max="14826" width="13.28515625" customWidth="1"/>
    <col min="14828" max="14828" width="2.7109375" customWidth="1"/>
    <col min="14831" max="14831" width="34.5703125" bestFit="1" customWidth="1"/>
    <col min="14833" max="14833" width="19.7109375" bestFit="1" customWidth="1"/>
    <col min="14834" max="14834" width="6.140625" bestFit="1" customWidth="1"/>
    <col min="14836" max="14837" width="13.28515625" bestFit="1" customWidth="1"/>
    <col min="14839" max="14839" width="13.28515625" bestFit="1" customWidth="1"/>
    <col min="14840" max="14840" width="11.7109375" bestFit="1" customWidth="1"/>
    <col min="14841" max="14841" width="2.7109375" customWidth="1"/>
    <col min="14842" max="14842" width="19.5703125" customWidth="1"/>
    <col min="15077" max="15077" width="4.28515625" bestFit="1" customWidth="1"/>
    <col min="15078" max="15078" width="59.85546875" customWidth="1"/>
    <col min="15080" max="15080" width="11.85546875" bestFit="1" customWidth="1"/>
    <col min="15081" max="15081" width="13.28515625" bestFit="1" customWidth="1"/>
    <col min="15082" max="15082" width="13.28515625" customWidth="1"/>
    <col min="15084" max="15084" width="2.7109375" customWidth="1"/>
    <col min="15087" max="15087" width="34.5703125" bestFit="1" customWidth="1"/>
    <col min="15089" max="15089" width="19.7109375" bestFit="1" customWidth="1"/>
    <col min="15090" max="15090" width="6.140625" bestFit="1" customWidth="1"/>
    <col min="15092" max="15093" width="13.28515625" bestFit="1" customWidth="1"/>
    <col min="15095" max="15095" width="13.28515625" bestFit="1" customWidth="1"/>
    <col min="15096" max="15096" width="11.7109375" bestFit="1" customWidth="1"/>
    <col min="15097" max="15097" width="2.7109375" customWidth="1"/>
    <col min="15098" max="15098" width="19.5703125" customWidth="1"/>
    <col min="15333" max="15333" width="4.28515625" bestFit="1" customWidth="1"/>
    <col min="15334" max="15334" width="59.85546875" customWidth="1"/>
    <col min="15336" max="15336" width="11.85546875" bestFit="1" customWidth="1"/>
    <col min="15337" max="15337" width="13.28515625" bestFit="1" customWidth="1"/>
    <col min="15338" max="15338" width="13.28515625" customWidth="1"/>
    <col min="15340" max="15340" width="2.7109375" customWidth="1"/>
    <col min="15343" max="15343" width="34.5703125" bestFit="1" customWidth="1"/>
    <col min="15345" max="15345" width="19.7109375" bestFit="1" customWidth="1"/>
    <col min="15346" max="15346" width="6.140625" bestFit="1" customWidth="1"/>
    <col min="15348" max="15349" width="13.28515625" bestFit="1" customWidth="1"/>
    <col min="15351" max="15351" width="13.28515625" bestFit="1" customWidth="1"/>
    <col min="15352" max="15352" width="11.7109375" bestFit="1" customWidth="1"/>
    <col min="15353" max="15353" width="2.7109375" customWidth="1"/>
    <col min="15354" max="15354" width="19.5703125" customWidth="1"/>
    <col min="15589" max="15589" width="4.28515625" bestFit="1" customWidth="1"/>
    <col min="15590" max="15590" width="59.85546875" customWidth="1"/>
    <col min="15592" max="15592" width="11.85546875" bestFit="1" customWidth="1"/>
    <col min="15593" max="15593" width="13.28515625" bestFit="1" customWidth="1"/>
    <col min="15594" max="15594" width="13.28515625" customWidth="1"/>
    <col min="15596" max="15596" width="2.7109375" customWidth="1"/>
    <col min="15599" max="15599" width="34.5703125" bestFit="1" customWidth="1"/>
    <col min="15601" max="15601" width="19.7109375" bestFit="1" customWidth="1"/>
    <col min="15602" max="15602" width="6.140625" bestFit="1" customWidth="1"/>
    <col min="15604" max="15605" width="13.28515625" bestFit="1" customWidth="1"/>
    <col min="15607" max="15607" width="13.28515625" bestFit="1" customWidth="1"/>
    <col min="15608" max="15608" width="11.7109375" bestFit="1" customWidth="1"/>
    <col min="15609" max="15609" width="2.7109375" customWidth="1"/>
    <col min="15610" max="15610" width="19.5703125" customWidth="1"/>
    <col min="15845" max="15845" width="4.28515625" bestFit="1" customWidth="1"/>
    <col min="15846" max="15846" width="59.85546875" customWidth="1"/>
    <col min="15848" max="15848" width="11.85546875" bestFit="1" customWidth="1"/>
    <col min="15849" max="15849" width="13.28515625" bestFit="1" customWidth="1"/>
    <col min="15850" max="15850" width="13.28515625" customWidth="1"/>
    <col min="15852" max="15852" width="2.7109375" customWidth="1"/>
    <col min="15855" max="15855" width="34.5703125" bestFit="1" customWidth="1"/>
    <col min="15857" max="15857" width="19.7109375" bestFit="1" customWidth="1"/>
    <col min="15858" max="15858" width="6.140625" bestFit="1" customWidth="1"/>
    <col min="15860" max="15861" width="13.28515625" bestFit="1" customWidth="1"/>
    <col min="15863" max="15863" width="13.28515625" bestFit="1" customWidth="1"/>
    <col min="15864" max="15864" width="11.7109375" bestFit="1" customWidth="1"/>
    <col min="15865" max="15865" width="2.7109375" customWidth="1"/>
    <col min="15866" max="15866" width="19.5703125" customWidth="1"/>
    <col min="16101" max="16101" width="4.28515625" bestFit="1" customWidth="1"/>
    <col min="16102" max="16102" width="59.85546875" customWidth="1"/>
    <col min="16104" max="16104" width="11.85546875" bestFit="1" customWidth="1"/>
    <col min="16105" max="16105" width="13.28515625" bestFit="1" customWidth="1"/>
    <col min="16106" max="16106" width="13.28515625" customWidth="1"/>
    <col min="16108" max="16108" width="2.7109375" customWidth="1"/>
    <col min="16111" max="16111" width="34.5703125" bestFit="1" customWidth="1"/>
    <col min="16113" max="16113" width="19.7109375" bestFit="1" customWidth="1"/>
    <col min="16114" max="16114" width="6.140625" bestFit="1" customWidth="1"/>
    <col min="16116" max="16117" width="13.28515625" bestFit="1" customWidth="1"/>
    <col min="16119" max="16119" width="13.28515625" bestFit="1" customWidth="1"/>
    <col min="16120" max="16120" width="11.7109375" bestFit="1" customWidth="1"/>
    <col min="16121" max="16121" width="2.7109375" customWidth="1"/>
    <col min="16122" max="16122" width="19.5703125" customWidth="1"/>
  </cols>
  <sheetData>
    <row r="1" spans="1:18" ht="18.75" x14ac:dyDescent="0.3">
      <c r="B1" s="231" t="s">
        <v>0</v>
      </c>
      <c r="C1" s="231"/>
      <c r="D1" s="231"/>
      <c r="E1" s="231"/>
      <c r="F1" s="231"/>
      <c r="G1" s="231"/>
      <c r="H1" s="2"/>
      <c r="I1" s="87"/>
    </row>
    <row r="2" spans="1:18" ht="15.75" thickBot="1" x14ac:dyDescent="0.3">
      <c r="H2" s="2"/>
      <c r="I2" s="87"/>
    </row>
    <row r="3" spans="1:18" ht="15.75" thickBot="1" x14ac:dyDescent="0.3"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5" t="s">
        <v>6</v>
      </c>
      <c r="H3" s="6"/>
      <c r="I3" s="87"/>
      <c r="K3" s="70" t="s">
        <v>7</v>
      </c>
      <c r="L3" s="71">
        <f>+'Ingreso Datos'!F25</f>
        <v>326500</v>
      </c>
    </row>
    <row r="4" spans="1:18" ht="16.5" thickBot="1" x14ac:dyDescent="0.3">
      <c r="A4" s="7" t="s">
        <v>8</v>
      </c>
      <c r="B4" s="8" t="s">
        <v>9</v>
      </c>
      <c r="C4" s="66">
        <f>+'Ingreso Datos'!B15</f>
        <v>100000</v>
      </c>
      <c r="D4" s="232" t="s">
        <v>10</v>
      </c>
      <c r="E4" s="233"/>
      <c r="F4" s="91">
        <f>+'Ingreso Datos'!B14</f>
        <v>30</v>
      </c>
      <c r="G4" s="92">
        <f>ROUND((C4/30)*F4,0)</f>
        <v>100000</v>
      </c>
      <c r="H4" s="11"/>
      <c r="I4" s="87"/>
      <c r="L4">
        <v>4.75</v>
      </c>
      <c r="O4" s="234" t="s">
        <v>11</v>
      </c>
      <c r="P4" s="234"/>
      <c r="Q4" s="234"/>
      <c r="R4" s="234"/>
    </row>
    <row r="5" spans="1:18" ht="15.75" thickBot="1" x14ac:dyDescent="0.3">
      <c r="A5" s="7" t="s">
        <v>8</v>
      </c>
      <c r="B5" s="8" t="s">
        <v>12</v>
      </c>
      <c r="C5" s="68" t="s">
        <v>13</v>
      </c>
      <c r="D5" s="67">
        <f>+'Ingreso Datos'!B21</f>
        <v>0</v>
      </c>
      <c r="F5" s="10"/>
      <c r="G5" s="93">
        <f>ROUND((((C4+G8+G6)/30)*(28/180)*1.5)*D5,0)</f>
        <v>0</v>
      </c>
      <c r="H5" s="11"/>
      <c r="I5" s="87"/>
      <c r="K5" t="s">
        <v>14</v>
      </c>
      <c r="L5" s="13">
        <f>+L3*L4</f>
        <v>1550875</v>
      </c>
      <c r="N5" s="14">
        <v>1</v>
      </c>
      <c r="O5" s="15" t="s">
        <v>15</v>
      </c>
      <c r="P5" s="16">
        <f>+'Ingreso Datos'!G5</f>
        <v>0.1144</v>
      </c>
      <c r="Q5" s="16">
        <f>+'Ingreso Datos'!H5</f>
        <v>1.9900000000000001E-2</v>
      </c>
      <c r="R5" s="16">
        <v>0.12590000000000001</v>
      </c>
    </row>
    <row r="6" spans="1:18" x14ac:dyDescent="0.25">
      <c r="A6" s="7" t="s">
        <v>8</v>
      </c>
      <c r="B6" s="8" t="s">
        <v>16</v>
      </c>
      <c r="C6" s="12"/>
      <c r="D6" s="8"/>
      <c r="E6" s="8"/>
      <c r="F6" s="8"/>
      <c r="G6" s="93">
        <f>+'Ingreso Datos'!B18</f>
        <v>0</v>
      </c>
      <c r="H6" s="11"/>
      <c r="I6" s="87"/>
      <c r="L6" s="13">
        <v>12</v>
      </c>
      <c r="N6" s="14">
        <v>2</v>
      </c>
      <c r="O6" s="15" t="s">
        <v>17</v>
      </c>
      <c r="P6" s="16">
        <f>+'Ingreso Datos'!G6</f>
        <v>0.1144</v>
      </c>
      <c r="Q6" s="16">
        <f>+'Ingreso Datos'!H6</f>
        <v>0</v>
      </c>
      <c r="R6" s="16">
        <v>0.1263</v>
      </c>
    </row>
    <row r="7" spans="1:18" ht="15" customHeight="1" x14ac:dyDescent="0.25">
      <c r="A7" s="7" t="s">
        <v>8</v>
      </c>
      <c r="B7" s="8" t="s">
        <v>18</v>
      </c>
      <c r="C7" s="12" t="s">
        <v>19</v>
      </c>
      <c r="D7" s="9">
        <f>+'Ingreso Datos'!F28</f>
        <v>0</v>
      </c>
      <c r="E7" s="12" t="s">
        <v>20</v>
      </c>
      <c r="F7" s="17">
        <f>+'Ingreso Datos'!B13</f>
        <v>0</v>
      </c>
      <c r="G7" s="93">
        <f>ROUND(D7*F7,0)</f>
        <v>0</v>
      </c>
      <c r="H7" s="11"/>
      <c r="I7" s="87"/>
      <c r="K7" s="3" t="s">
        <v>21</v>
      </c>
      <c r="L7" s="18">
        <f>+L5/L6</f>
        <v>129239.58333333333</v>
      </c>
      <c r="N7" s="14">
        <v>3</v>
      </c>
      <c r="O7" s="19" t="s">
        <v>22</v>
      </c>
      <c r="P7" s="16">
        <f>+'Ingreso Datos'!G7</f>
        <v>0.11269999999999999</v>
      </c>
      <c r="Q7" s="16">
        <f>+'Ingreso Datos'!H7</f>
        <v>0</v>
      </c>
      <c r="R7" s="16">
        <v>0.1242</v>
      </c>
    </row>
    <row r="8" spans="1:18" x14ac:dyDescent="0.25">
      <c r="A8" s="7" t="s">
        <v>8</v>
      </c>
      <c r="B8" s="8" t="s">
        <v>23</v>
      </c>
      <c r="C8" s="12" t="s">
        <v>24</v>
      </c>
      <c r="D8" s="10">
        <f>+'Ingreso Datos'!F26</f>
        <v>21</v>
      </c>
      <c r="E8" s="20" t="s">
        <v>25</v>
      </c>
      <c r="F8" s="10">
        <f>+'Ingreso Datos'!F27</f>
        <v>6</v>
      </c>
      <c r="G8" s="93">
        <f>ROUND((G7/D8)*F8,0)</f>
        <v>0</v>
      </c>
      <c r="H8" s="11"/>
      <c r="I8" s="88" t="e">
        <f>+G8/G7</f>
        <v>#DIV/0!</v>
      </c>
      <c r="L8" s="22">
        <v>0.25</v>
      </c>
      <c r="N8" s="14">
        <v>4</v>
      </c>
      <c r="O8" s="15" t="s">
        <v>26</v>
      </c>
      <c r="P8" s="16">
        <f>+'Ingreso Datos'!G8</f>
        <v>0.1116</v>
      </c>
      <c r="Q8" s="16">
        <f>+'Ingreso Datos'!H8</f>
        <v>0</v>
      </c>
      <c r="R8" s="16">
        <v>0.1162</v>
      </c>
    </row>
    <row r="9" spans="1:18" x14ac:dyDescent="0.25">
      <c r="A9" s="7" t="s">
        <v>8</v>
      </c>
      <c r="B9" s="97" t="s">
        <v>182</v>
      </c>
      <c r="G9" s="98">
        <f>+'Ingreso Datos'!B19</f>
        <v>0</v>
      </c>
      <c r="H9" s="11"/>
      <c r="I9" s="89"/>
      <c r="L9" s="13">
        <f>L7/L8</f>
        <v>516958.33333333331</v>
      </c>
      <c r="M9" s="24">
        <v>0.25</v>
      </c>
      <c r="N9" s="14">
        <v>5</v>
      </c>
      <c r="O9" s="15" t="s">
        <v>28</v>
      </c>
      <c r="P9" s="16">
        <f>+'Ingreso Datos'!G9</f>
        <v>0.1145</v>
      </c>
      <c r="Q9" s="16">
        <f>+'Ingreso Datos'!H9</f>
        <v>0</v>
      </c>
      <c r="R9" s="16">
        <v>0.12690000000000001</v>
      </c>
    </row>
    <row r="10" spans="1:18" x14ac:dyDescent="0.25">
      <c r="A10" s="7" t="s">
        <v>8</v>
      </c>
      <c r="B10" s="8" t="str">
        <f>+'Ingreso Datos'!A20</f>
        <v>otros</v>
      </c>
      <c r="C10" s="9"/>
      <c r="D10" s="23"/>
      <c r="E10" s="10"/>
      <c r="F10" s="8"/>
      <c r="G10" s="93">
        <f>+'Ingreso Datos'!B20</f>
        <v>0</v>
      </c>
      <c r="H10" s="11"/>
      <c r="I10" s="89"/>
      <c r="L10" s="13"/>
      <c r="M10" s="24"/>
      <c r="N10" s="14"/>
      <c r="O10" s="15"/>
      <c r="P10" s="16"/>
      <c r="Q10" s="16"/>
      <c r="R10" s="16"/>
    </row>
    <row r="11" spans="1:18" x14ac:dyDescent="0.25">
      <c r="A11" s="7" t="s">
        <v>8</v>
      </c>
      <c r="B11" s="8" t="s">
        <v>27</v>
      </c>
      <c r="C11" s="9">
        <f>SUM(G4:G8)</f>
        <v>100000</v>
      </c>
      <c r="D11" s="23">
        <v>0.25</v>
      </c>
      <c r="E11" s="10">
        <f>+C11*D11</f>
        <v>25000</v>
      </c>
      <c r="F11" s="8"/>
      <c r="G11" s="93">
        <f>ROUND(IF(L16*25%&gt;=L7,L7,L16*25%),0)</f>
        <v>25000</v>
      </c>
      <c r="H11" s="11"/>
      <c r="I11" s="89"/>
      <c r="L11" s="13"/>
      <c r="M11" s="24"/>
      <c r="N11" s="14"/>
      <c r="O11" s="15"/>
      <c r="P11" s="16"/>
      <c r="Q11" s="16"/>
      <c r="R11" s="16"/>
    </row>
    <row r="12" spans="1:18" ht="15.75" thickBot="1" x14ac:dyDescent="0.3">
      <c r="A12" s="7" t="s">
        <v>8</v>
      </c>
      <c r="B12" s="8"/>
      <c r="C12" s="9"/>
      <c r="D12" s="23"/>
      <c r="E12" s="10"/>
      <c r="F12" s="8"/>
      <c r="G12" s="94"/>
      <c r="H12" s="11"/>
      <c r="I12" s="89"/>
      <c r="L12" s="13"/>
      <c r="M12" s="24"/>
      <c r="N12" s="14"/>
      <c r="O12" s="15"/>
      <c r="P12" s="16"/>
      <c r="Q12" s="16"/>
      <c r="R12" s="16"/>
    </row>
    <row r="13" spans="1:18" x14ac:dyDescent="0.25">
      <c r="A13" s="25" t="s">
        <v>29</v>
      </c>
      <c r="B13" s="3" t="s">
        <v>30</v>
      </c>
      <c r="C13" s="26"/>
      <c r="D13" s="26"/>
      <c r="E13" s="26"/>
      <c r="F13" s="26"/>
      <c r="G13" s="18">
        <f>ROUND(SUM(G4:G12),0)</f>
        <v>125000</v>
      </c>
      <c r="H13" s="11"/>
      <c r="I13" s="88">
        <f>G13/$G$48</f>
        <v>0.94948006471656121</v>
      </c>
      <c r="L13" s="24">
        <v>0.25</v>
      </c>
      <c r="M13" s="13">
        <f>+L16*M9</f>
        <v>25000</v>
      </c>
      <c r="N13" s="14">
        <v>6</v>
      </c>
      <c r="O13" s="15" t="s">
        <v>31</v>
      </c>
      <c r="P13" s="16">
        <f>+'Ingreso Datos'!G10</f>
        <v>0.1077</v>
      </c>
      <c r="Q13" s="16">
        <f>+'Ingreso Datos'!H10</f>
        <v>0</v>
      </c>
      <c r="R13" s="16">
        <v>0.1192</v>
      </c>
    </row>
    <row r="14" spans="1:18" x14ac:dyDescent="0.25">
      <c r="H14" s="2"/>
      <c r="I14" s="87"/>
      <c r="L14" s="13">
        <f>+L9*L13</f>
        <v>129239.58333333333</v>
      </c>
      <c r="N14" s="14">
        <v>7</v>
      </c>
      <c r="O14" s="15" t="s">
        <v>132</v>
      </c>
      <c r="P14" s="16">
        <f>+'Ingreso Datos'!G11</f>
        <v>0.1069</v>
      </c>
      <c r="Q14" s="16">
        <f>+'Ingreso Datos'!H11</f>
        <v>0</v>
      </c>
      <c r="R14" s="16">
        <v>0.1192</v>
      </c>
    </row>
    <row r="15" spans="1:18" x14ac:dyDescent="0.25">
      <c r="A15" s="27" t="s">
        <v>32</v>
      </c>
      <c r="B15" s="8" t="s">
        <v>146</v>
      </c>
      <c r="C15" s="28">
        <f>L20</f>
        <v>2312858.1260000002</v>
      </c>
      <c r="D15" s="10">
        <f>+'Ingreso Datos'!B6</f>
        <v>3</v>
      </c>
      <c r="E15" s="12" t="str">
        <f>VLOOKUP(D15,$N$5:$Q$14,2,0)</f>
        <v>Habitat</v>
      </c>
      <c r="F15" s="17">
        <f>VLOOKUP(D15,$N$5:$P$14,3,0)</f>
        <v>0.11269999999999999</v>
      </c>
      <c r="G15" s="9">
        <f>ROUND(IF(G13&gt;=L20,L20*F15,G13*F15),0)</f>
        <v>14088</v>
      </c>
      <c r="H15" s="2"/>
      <c r="I15" s="89">
        <f>+G13*F15</f>
        <v>14087.5</v>
      </c>
      <c r="M15">
        <f>+L19*7%</f>
        <v>5.6140000000000008</v>
      </c>
    </row>
    <row r="16" spans="1:18" ht="15.75" thickBot="1" x14ac:dyDescent="0.3">
      <c r="A16" s="27" t="s">
        <v>32</v>
      </c>
      <c r="B16" s="8" t="s">
        <v>147</v>
      </c>
      <c r="C16" s="28">
        <f>C15</f>
        <v>2312858.1260000002</v>
      </c>
      <c r="D16" s="10">
        <f>+'Ingreso Datos'!B8</f>
        <v>1</v>
      </c>
      <c r="E16" s="12" t="str">
        <f>VLOOKUP(D16,$J$21:$L$22,2,0)</f>
        <v>Fonasa</v>
      </c>
      <c r="F16" s="17">
        <f>VLOOKUP(D16,$J$21:$L$22,3,0)</f>
        <v>7.0000000000000007E-2</v>
      </c>
      <c r="G16" s="9">
        <f>ROUND(IF(G13&gt;=L20,L20*F16,G13*F16),0)</f>
        <v>8750</v>
      </c>
      <c r="H16" s="11"/>
      <c r="I16" s="89">
        <f>+G13*F16</f>
        <v>8750</v>
      </c>
      <c r="K16" s="29" t="s">
        <v>36</v>
      </c>
      <c r="L16" s="30">
        <f>SUM(G4:G10)</f>
        <v>100000</v>
      </c>
    </row>
    <row r="17" spans="1:27" ht="15.75" thickBot="1" x14ac:dyDescent="0.3">
      <c r="A17" s="27"/>
      <c r="B17" s="31" t="str">
        <f>IF(D16=J22,K23,M17)</f>
        <v>No Hay Plan de Salud</v>
      </c>
      <c r="D17" s="32">
        <f>+'Ingreso Datos'!B10</f>
        <v>0</v>
      </c>
      <c r="E17" s="33">
        <f>L18</f>
        <v>28838.63</v>
      </c>
      <c r="F17" s="10">
        <f>IF(E16=K22,D17*E17,0)</f>
        <v>0</v>
      </c>
      <c r="G17" s="9">
        <f>ROUND(IF(I17&lt;=0,0,I17),0)</f>
        <v>0</v>
      </c>
      <c r="H17" s="11"/>
      <c r="I17" s="90">
        <f>+F17-G16</f>
        <v>-8750</v>
      </c>
      <c r="M17" t="s">
        <v>38</v>
      </c>
      <c r="Q17" s="13">
        <f>+G22</f>
        <v>101412</v>
      </c>
      <c r="T17" s="117">
        <f>IFERROR(LOOKUP(Q17,P48:Q56,R48:R56),0)</f>
        <v>0</v>
      </c>
    </row>
    <row r="18" spans="1:27" ht="15.75" thickBot="1" x14ac:dyDescent="0.3">
      <c r="A18" s="27" t="s">
        <v>39</v>
      </c>
      <c r="B18" s="8" t="s">
        <v>40</v>
      </c>
      <c r="D18" s="33">
        <f>+'Ingreso Datos'!B11</f>
        <v>0</v>
      </c>
      <c r="E18" s="34">
        <f>+E17*D18</f>
        <v>0</v>
      </c>
      <c r="F18" s="10">
        <v>0</v>
      </c>
      <c r="G18" s="9">
        <f>ROUND(IF(E18=0,F18,E18),0)</f>
        <v>0</v>
      </c>
      <c r="H18" s="11"/>
      <c r="I18" s="89"/>
      <c r="K18" t="s">
        <v>122</v>
      </c>
      <c r="L18" s="35">
        <f>+'Ingreso Datos'!F21</f>
        <v>28838.63</v>
      </c>
      <c r="M18" s="13">
        <f>L20*L22</f>
        <v>161900.06882000001</v>
      </c>
      <c r="Q18" s="13">
        <f>+Q17</f>
        <v>101412</v>
      </c>
      <c r="T18" s="118">
        <f>IFERROR(LOOKUP(Q18,P48:Q56,S48:S56),0)</f>
        <v>0</v>
      </c>
      <c r="U18" s="119">
        <f>ROUNDUP(T18,0)</f>
        <v>0</v>
      </c>
    </row>
    <row r="19" spans="1:27" ht="15.75" thickBot="1" x14ac:dyDescent="0.3">
      <c r="A19" s="27" t="s">
        <v>32</v>
      </c>
      <c r="B19" s="8" t="s">
        <v>148</v>
      </c>
      <c r="C19" s="28">
        <f>L25</f>
        <v>3472171.0520000001</v>
      </c>
      <c r="D19" s="10">
        <f>+'Ingreso Datos'!B12</f>
        <v>2</v>
      </c>
      <c r="E19" s="12" t="str">
        <f>VLOOKUP(D19,$J$27:$L$28,2,0)</f>
        <v>Indefinido</v>
      </c>
      <c r="F19" s="17">
        <f>VLOOKUP(D19,$J$27:$L$28,3,0)</f>
        <v>6.0000000000000001E-3</v>
      </c>
      <c r="G19" s="9">
        <f>ROUND(IF(G13&gt;=L25,L25*F19,G13*F19),0)</f>
        <v>750</v>
      </c>
      <c r="H19" s="11"/>
      <c r="I19" s="89"/>
      <c r="J19" s="13"/>
      <c r="K19" t="s">
        <v>42</v>
      </c>
      <c r="L19" s="35">
        <f>+'Ingreso Datos'!F23</f>
        <v>80.2</v>
      </c>
    </row>
    <row r="20" spans="1:27" ht="15" customHeight="1" thickBot="1" x14ac:dyDescent="0.3">
      <c r="A20" s="25" t="s">
        <v>29</v>
      </c>
      <c r="B20" s="29" t="s">
        <v>45</v>
      </c>
      <c r="C20" s="26"/>
      <c r="D20" s="26"/>
      <c r="E20" s="26"/>
      <c r="F20" s="26"/>
      <c r="G20" s="18">
        <f>ROUND(SUM(G15:G19),0)</f>
        <v>23588</v>
      </c>
      <c r="H20" s="11"/>
      <c r="I20" s="88">
        <f>G20/$G$48</f>
        <v>0.17917068613227397</v>
      </c>
      <c r="J20" s="13"/>
      <c r="K20" s="3" t="s">
        <v>46</v>
      </c>
      <c r="L20" s="18">
        <f>+L18*L19</f>
        <v>2312858.1260000002</v>
      </c>
      <c r="O20" s="235" t="s">
        <v>47</v>
      </c>
      <c r="P20" s="236"/>
      <c r="Q20" s="236"/>
      <c r="R20" s="236"/>
      <c r="S20" s="236"/>
      <c r="T20" s="237"/>
      <c r="W20">
        <f>IFERROR(LOOKUP(Q17,P23:R30,R23:R30),0)</f>
        <v>0</v>
      </c>
    </row>
    <row r="21" spans="1:27" ht="15.75" thickBot="1" x14ac:dyDescent="0.3">
      <c r="H21" s="2"/>
      <c r="I21" s="87"/>
      <c r="J21">
        <v>1</v>
      </c>
      <c r="K21" t="s">
        <v>37</v>
      </c>
      <c r="L21" s="21">
        <v>7.0000000000000007E-2</v>
      </c>
      <c r="O21" s="37" t="s">
        <v>48</v>
      </c>
      <c r="P21" s="37" t="s">
        <v>49</v>
      </c>
      <c r="Q21" s="72" t="str">
        <f>+Q47</f>
        <v>Octubre</v>
      </c>
      <c r="R21" s="38">
        <f>+R33</f>
        <v>0</v>
      </c>
      <c r="S21" s="39"/>
    </row>
    <row r="22" spans="1:27" ht="15.75" thickBot="1" x14ac:dyDescent="0.3">
      <c r="A22" s="25" t="s">
        <v>29</v>
      </c>
      <c r="B22" s="29" t="s">
        <v>192</v>
      </c>
      <c r="C22" s="26"/>
      <c r="D22" s="26"/>
      <c r="E22" s="26"/>
      <c r="F22" s="26"/>
      <c r="G22" s="18">
        <f>ROUND(+G13-G20,0)</f>
        <v>101412</v>
      </c>
      <c r="H22" s="11"/>
      <c r="I22" s="88">
        <f>G22/$G$48</f>
        <v>0.77030937858428727</v>
      </c>
      <c r="J22">
        <v>2</v>
      </c>
      <c r="K22" t="s">
        <v>51</v>
      </c>
      <c r="L22" s="21">
        <v>7.0000000000000007E-2</v>
      </c>
      <c r="O22" s="37" t="s">
        <v>52</v>
      </c>
      <c r="P22" s="37" t="s">
        <v>53</v>
      </c>
      <c r="Q22" s="37" t="s">
        <v>54</v>
      </c>
      <c r="R22" s="37" t="s">
        <v>55</v>
      </c>
      <c r="S22" s="37" t="s">
        <v>56</v>
      </c>
      <c r="T22" s="38" t="s">
        <v>57</v>
      </c>
    </row>
    <row r="23" spans="1:27" ht="15.75" thickBot="1" x14ac:dyDescent="0.3">
      <c r="H23" s="11"/>
      <c r="I23" s="88"/>
      <c r="J23" s="13"/>
      <c r="K23" t="s">
        <v>58</v>
      </c>
      <c r="O23" s="40">
        <v>1</v>
      </c>
      <c r="P23" s="41">
        <f>+P49</f>
        <v>0</v>
      </c>
      <c r="Q23" s="42">
        <f>+Q49</f>
        <v>680022</v>
      </c>
      <c r="R23" s="42">
        <f t="shared" ref="R23:T23" si="0">+R49</f>
        <v>0</v>
      </c>
      <c r="S23" s="42">
        <f t="shared" si="0"/>
        <v>0</v>
      </c>
      <c r="T23" s="42">
        <f t="shared" si="0"/>
        <v>0</v>
      </c>
    </row>
    <row r="24" spans="1:27" ht="15.75" thickBot="1" x14ac:dyDescent="0.3">
      <c r="A24" s="27" t="s">
        <v>32</v>
      </c>
      <c r="B24" s="238" t="s">
        <v>59</v>
      </c>
      <c r="C24" s="238"/>
      <c r="D24" s="7" t="s">
        <v>52</v>
      </c>
      <c r="E24" s="45">
        <v>2</v>
      </c>
      <c r="F24" s="45"/>
      <c r="G24" s="18">
        <f>X28</f>
        <v>0</v>
      </c>
      <c r="H24" s="11"/>
      <c r="I24" s="87"/>
      <c r="K24" t="s">
        <v>60</v>
      </c>
      <c r="L24" s="36">
        <f>+'Ingreso Datos'!F24</f>
        <v>120.4</v>
      </c>
      <c r="O24" s="40">
        <v>2</v>
      </c>
      <c r="P24" s="41">
        <f t="shared" ref="P24:T30" si="1">+P50</f>
        <v>680022.0112049845</v>
      </c>
      <c r="Q24" s="42">
        <f t="shared" si="1"/>
        <v>1511160</v>
      </c>
      <c r="R24" s="42">
        <f t="shared" si="1"/>
        <v>0.04</v>
      </c>
      <c r="S24" s="42">
        <f t="shared" si="1"/>
        <v>27200.880000000001</v>
      </c>
      <c r="T24" s="42">
        <f t="shared" si="1"/>
        <v>2.1999999999999999E-2</v>
      </c>
    </row>
    <row r="25" spans="1:27" ht="15.75" thickBot="1" x14ac:dyDescent="0.3">
      <c r="B25" s="8" t="str">
        <f>+'Ingreso Datos'!A26</f>
        <v>Viático</v>
      </c>
      <c r="G25" s="9">
        <f>+'Ingreso Datos'!B26</f>
        <v>0</v>
      </c>
      <c r="H25" s="2"/>
      <c r="I25" s="87"/>
      <c r="K25" s="3" t="s">
        <v>61</v>
      </c>
      <c r="L25" s="18">
        <f>+L18*L24</f>
        <v>3472171.0520000001</v>
      </c>
      <c r="O25" s="40">
        <v>3</v>
      </c>
      <c r="P25" s="41">
        <f t="shared" si="1"/>
        <v>1511160.0112049845</v>
      </c>
      <c r="Q25" s="42">
        <f t="shared" si="1"/>
        <v>2518600</v>
      </c>
      <c r="R25" s="42">
        <f t="shared" si="1"/>
        <v>0.08</v>
      </c>
      <c r="S25" s="42">
        <f t="shared" si="1"/>
        <v>87647.28</v>
      </c>
      <c r="T25" s="42">
        <f t="shared" si="1"/>
        <v>4.5199999999999997E-2</v>
      </c>
    </row>
    <row r="26" spans="1:27" ht="15.75" thickBot="1" x14ac:dyDescent="0.3">
      <c r="A26" s="25" t="s">
        <v>8</v>
      </c>
      <c r="B26" s="8" t="s">
        <v>62</v>
      </c>
      <c r="C26" s="12" t="s">
        <v>63</v>
      </c>
      <c r="D26" s="86" t="str">
        <f>+'Ingreso Datos'!F30</f>
        <v>c</v>
      </c>
      <c r="E26" s="10">
        <f>VLOOKUP(D26,$O$41:$P$44,2,0)</f>
        <v>2599</v>
      </c>
      <c r="F26" s="191">
        <f>+'Ingreso Datos'!B27</f>
        <v>0</v>
      </c>
      <c r="G26" s="46">
        <f>ROUND(+E26*F26,0)</f>
        <v>0</v>
      </c>
      <c r="H26" s="2"/>
      <c r="I26" s="87"/>
      <c r="L26" s="13"/>
      <c r="O26" s="40">
        <v>4</v>
      </c>
      <c r="P26" s="41">
        <f t="shared" si="1"/>
        <v>2518600.0112049845</v>
      </c>
      <c r="Q26" s="42">
        <f t="shared" si="1"/>
        <v>3526040</v>
      </c>
      <c r="R26" s="42">
        <f t="shared" si="1"/>
        <v>0.13500000000000001</v>
      </c>
      <c r="S26" s="42">
        <f t="shared" si="1"/>
        <v>226170.28</v>
      </c>
      <c r="T26" s="42">
        <f t="shared" si="1"/>
        <v>7.0900000000000005E-2</v>
      </c>
      <c r="V26" s="120" t="s">
        <v>201</v>
      </c>
      <c r="W26" s="121">
        <f>+W20</f>
        <v>0</v>
      </c>
      <c r="X26" s="224">
        <f>ROUNDUP($AA$26,0)</f>
        <v>0</v>
      </c>
      <c r="Y26" s="224"/>
      <c r="AA26">
        <f>+Q17*W26</f>
        <v>0</v>
      </c>
    </row>
    <row r="27" spans="1:27" ht="15.75" thickBot="1" x14ac:dyDescent="0.3">
      <c r="A27" s="25" t="s">
        <v>8</v>
      </c>
      <c r="B27" s="8" t="s">
        <v>65</v>
      </c>
      <c r="C27" s="10">
        <f>+'Ingreso Datos'!B25</f>
        <v>0</v>
      </c>
      <c r="D27" s="10">
        <f>F4</f>
        <v>30</v>
      </c>
      <c r="F27" s="10"/>
      <c r="G27" s="46">
        <f>ROUND((C27/30)*D27,0)</f>
        <v>0</v>
      </c>
      <c r="H27" s="11"/>
      <c r="I27" s="87"/>
      <c r="J27">
        <v>1</v>
      </c>
      <c r="K27" t="s">
        <v>66</v>
      </c>
      <c r="L27" s="21">
        <v>0</v>
      </c>
      <c r="O27" s="40">
        <v>5</v>
      </c>
      <c r="P27" s="41">
        <f t="shared" si="1"/>
        <v>3526040.0112049845</v>
      </c>
      <c r="Q27" s="42">
        <f t="shared" si="1"/>
        <v>4533480</v>
      </c>
      <c r="R27" s="42">
        <f t="shared" si="1"/>
        <v>0.23</v>
      </c>
      <c r="S27" s="42">
        <f t="shared" si="1"/>
        <v>561144.08000000007</v>
      </c>
      <c r="T27" s="42">
        <f t="shared" si="1"/>
        <v>0.1062</v>
      </c>
      <c r="V27" s="225" t="s">
        <v>202</v>
      </c>
      <c r="W27" s="226"/>
      <c r="X27" s="224">
        <f>+U18</f>
        <v>0</v>
      </c>
      <c r="Y27" s="224"/>
    </row>
    <row r="28" spans="1:27" ht="15.75" thickBot="1" x14ac:dyDescent="0.3">
      <c r="A28" s="25" t="s">
        <v>8</v>
      </c>
      <c r="B28" s="8" t="s">
        <v>67</v>
      </c>
      <c r="C28" s="10">
        <f>+'Ingreso Datos'!B24</f>
        <v>0</v>
      </c>
      <c r="D28" s="10">
        <f>D27</f>
        <v>30</v>
      </c>
      <c r="F28" s="10"/>
      <c r="G28" s="46">
        <f>ROUND((C28/30)*D28,0)</f>
        <v>0</v>
      </c>
      <c r="H28" s="11"/>
      <c r="I28" s="87"/>
      <c r="J28">
        <v>2</v>
      </c>
      <c r="K28" t="s">
        <v>44</v>
      </c>
      <c r="L28" s="21">
        <v>6.0000000000000001E-3</v>
      </c>
      <c r="O28" s="40">
        <v>6</v>
      </c>
      <c r="P28" s="41">
        <f t="shared" si="1"/>
        <v>4533480.011204984</v>
      </c>
      <c r="Q28" s="42">
        <f t="shared" si="1"/>
        <v>6044640</v>
      </c>
      <c r="R28" s="42">
        <f t="shared" si="1"/>
        <v>0.30399999999999999</v>
      </c>
      <c r="S28" s="42">
        <f t="shared" si="1"/>
        <v>896621.60000000009</v>
      </c>
      <c r="T28" s="42">
        <f t="shared" si="1"/>
        <v>0.15570000000000001</v>
      </c>
      <c r="V28" s="227" t="s">
        <v>203</v>
      </c>
      <c r="W28" s="228"/>
      <c r="X28" s="122">
        <f>(X26-X27)</f>
        <v>0</v>
      </c>
      <c r="Y28" s="122"/>
    </row>
    <row r="29" spans="1:27" ht="15.75" thickBot="1" x14ac:dyDescent="0.3">
      <c r="A29" s="25" t="s">
        <v>29</v>
      </c>
      <c r="B29" s="3" t="s">
        <v>68</v>
      </c>
      <c r="C29" s="26"/>
      <c r="D29" s="26"/>
      <c r="E29" s="26"/>
      <c r="F29" s="26"/>
      <c r="G29" s="18">
        <f>ROUND(SUM(G25:G28),0)</f>
        <v>0</v>
      </c>
      <c r="H29" s="11"/>
      <c r="I29" s="88">
        <f>G29/$G$48</f>
        <v>0</v>
      </c>
      <c r="J29" s="47" t="s">
        <v>69</v>
      </c>
      <c r="K29" s="47" t="s">
        <v>55</v>
      </c>
      <c r="L29" s="47" t="s">
        <v>56</v>
      </c>
      <c r="O29" s="40">
        <v>7</v>
      </c>
      <c r="P29" s="41">
        <f t="shared" si="1"/>
        <v>6044640.0112049989</v>
      </c>
      <c r="Q29" s="42">
        <f t="shared" si="1"/>
        <v>7555800</v>
      </c>
      <c r="R29" s="42">
        <f t="shared" si="1"/>
        <v>0.35</v>
      </c>
      <c r="S29" s="42">
        <f t="shared" si="1"/>
        <v>1174675.04</v>
      </c>
      <c r="T29" s="42">
        <f t="shared" si="1"/>
        <v>0.19550000000000001</v>
      </c>
    </row>
    <row r="30" spans="1:27" ht="15.75" thickBot="1" x14ac:dyDescent="0.3">
      <c r="A30" s="25"/>
      <c r="G30" s="13"/>
      <c r="H30" s="11"/>
      <c r="I30" s="87"/>
      <c r="J30" s="48">
        <f>E24</f>
        <v>2</v>
      </c>
      <c r="K30" s="49">
        <f>VLOOKUP(E24,$O$49:$R$56,4,0)</f>
        <v>0.04</v>
      </c>
      <c r="L30" s="49">
        <f>VLOOKUP(E24,$O$49:$S$56,5,0)</f>
        <v>27200.880000000001</v>
      </c>
      <c r="O30" s="40">
        <v>8</v>
      </c>
      <c r="P30" s="41">
        <f t="shared" si="1"/>
        <v>7555800.0112049999</v>
      </c>
      <c r="Q30" s="42" t="str">
        <f t="shared" si="1"/>
        <v>Y MAS</v>
      </c>
      <c r="R30" s="42">
        <f t="shared" si="1"/>
        <v>0.4</v>
      </c>
      <c r="S30" s="42">
        <f t="shared" si="1"/>
        <v>1955441.04</v>
      </c>
      <c r="T30" s="42" t="str">
        <f t="shared" si="1"/>
        <v>MAS DE 19,55%</v>
      </c>
    </row>
    <row r="31" spans="1:27" x14ac:dyDescent="0.25">
      <c r="A31" s="27" t="s">
        <v>32</v>
      </c>
      <c r="B31" s="8" t="str">
        <f>+'Ingreso Datos'!A30</f>
        <v>Anticipo</v>
      </c>
      <c r="C31" s="8"/>
      <c r="D31" s="8"/>
      <c r="E31" s="8"/>
      <c r="F31" s="8"/>
      <c r="G31" s="9">
        <f>+'Ingreso Datos'!B30</f>
        <v>0</v>
      </c>
      <c r="H31" s="11"/>
      <c r="I31" s="87"/>
    </row>
    <row r="32" spans="1:27" x14ac:dyDescent="0.25">
      <c r="A32" s="27" t="s">
        <v>32</v>
      </c>
      <c r="B32" s="8" t="str">
        <f>+'Ingreso Datos'!A31</f>
        <v>Descuento Farmacia</v>
      </c>
      <c r="C32" s="8"/>
      <c r="D32" s="8"/>
      <c r="E32" s="8"/>
      <c r="F32" s="8"/>
      <c r="G32" s="9">
        <f>+'Ingreso Datos'!B31</f>
        <v>0</v>
      </c>
      <c r="H32" s="11"/>
      <c r="I32" s="87"/>
    </row>
    <row r="33" spans="1:20" x14ac:dyDescent="0.25">
      <c r="A33" s="27" t="s">
        <v>32</v>
      </c>
      <c r="B33" s="8" t="str">
        <f>+'Ingreso Datos'!A32</f>
        <v>Cuota sindical</v>
      </c>
      <c r="C33" s="8"/>
      <c r="D33" s="8"/>
      <c r="E33" s="8"/>
      <c r="F33" s="8"/>
      <c r="G33" s="9">
        <f>+'Ingreso Datos'!B32</f>
        <v>0</v>
      </c>
      <c r="H33" s="11"/>
      <c r="I33" s="87"/>
    </row>
    <row r="34" spans="1:20" x14ac:dyDescent="0.25">
      <c r="A34" s="27" t="s">
        <v>32</v>
      </c>
      <c r="B34" s="8" t="str">
        <f>+'Ingreso Datos'!A33</f>
        <v>Crédito CCAF</v>
      </c>
      <c r="C34" s="8"/>
      <c r="D34" s="8"/>
      <c r="E34" s="8"/>
      <c r="F34" s="8"/>
      <c r="G34" s="9">
        <f>+'Ingreso Datos'!B33</f>
        <v>0</v>
      </c>
      <c r="H34" s="11"/>
      <c r="I34" s="87"/>
      <c r="O34" s="37"/>
      <c r="P34" s="37"/>
      <c r="Q34" s="37"/>
      <c r="R34" s="39"/>
      <c r="S34" s="39"/>
    </row>
    <row r="35" spans="1:20" x14ac:dyDescent="0.25">
      <c r="A35" s="27" t="s">
        <v>32</v>
      </c>
      <c r="C35" s="8"/>
      <c r="D35" s="8"/>
      <c r="E35" s="8"/>
      <c r="F35" s="8"/>
      <c r="H35" s="11"/>
      <c r="I35" s="87"/>
      <c r="O35" s="37"/>
      <c r="P35" s="37"/>
      <c r="Q35" s="37"/>
      <c r="R35" s="39"/>
      <c r="S35" s="39"/>
    </row>
    <row r="36" spans="1:20" x14ac:dyDescent="0.25">
      <c r="A36" s="27" t="s">
        <v>32</v>
      </c>
      <c r="B36" s="8"/>
      <c r="C36" s="8"/>
      <c r="D36" s="8"/>
      <c r="E36" s="8"/>
      <c r="F36" s="8"/>
      <c r="G36" s="9">
        <f>+'Ingreso Datos'!B27</f>
        <v>0</v>
      </c>
      <c r="H36" s="11"/>
      <c r="I36" s="87"/>
      <c r="O36" s="37"/>
      <c r="P36" s="37"/>
      <c r="Q36" s="37"/>
      <c r="R36" s="39"/>
      <c r="S36" s="39"/>
    </row>
    <row r="37" spans="1:20" ht="15" customHeight="1" x14ac:dyDescent="0.25">
      <c r="A37" s="27" t="s">
        <v>32</v>
      </c>
      <c r="B37" s="8">
        <f>+'Ingreso Datos'!A34</f>
        <v>0</v>
      </c>
      <c r="C37" s="8"/>
      <c r="D37" s="8"/>
      <c r="E37" s="8"/>
      <c r="F37" s="8"/>
      <c r="G37" s="9">
        <f>+'Ingreso Datos'!B34</f>
        <v>0</v>
      </c>
      <c r="H37" s="11"/>
      <c r="I37" s="87"/>
      <c r="O37" s="37"/>
      <c r="P37" s="37"/>
      <c r="Q37" s="37"/>
      <c r="R37" s="37"/>
      <c r="S37" s="37"/>
      <c r="T37" s="37"/>
    </row>
    <row r="38" spans="1:20" x14ac:dyDescent="0.25">
      <c r="A38" s="25" t="s">
        <v>29</v>
      </c>
      <c r="B38" s="3" t="s">
        <v>75</v>
      </c>
      <c r="C38" s="26"/>
      <c r="D38" s="26"/>
      <c r="E38" s="26"/>
      <c r="F38" s="26"/>
      <c r="G38" s="18">
        <f>ROUND(SUM(G31:G37),0)</f>
        <v>0</v>
      </c>
      <c r="H38" s="11"/>
      <c r="I38" s="88">
        <f>G38/$G$48</f>
        <v>0</v>
      </c>
      <c r="O38" s="37"/>
      <c r="P38" s="37"/>
      <c r="Q38" s="37"/>
      <c r="R38" s="37"/>
      <c r="S38" s="37"/>
      <c r="T38" s="37"/>
    </row>
    <row r="39" spans="1:20" x14ac:dyDescent="0.25">
      <c r="A39" s="25"/>
      <c r="B39" s="3" t="s">
        <v>187</v>
      </c>
      <c r="C39" s="26"/>
      <c r="D39" s="26"/>
      <c r="E39" s="26"/>
      <c r="F39" s="26"/>
      <c r="G39" s="18">
        <f>+G20+G24+G38</f>
        <v>23588</v>
      </c>
      <c r="H39" s="11"/>
      <c r="I39" s="87"/>
      <c r="O39" s="229" t="s">
        <v>62</v>
      </c>
      <c r="P39" s="229"/>
      <c r="Q39" s="229"/>
      <c r="R39" s="229"/>
      <c r="S39" s="37"/>
      <c r="T39" s="37"/>
    </row>
    <row r="40" spans="1:20" x14ac:dyDescent="0.25">
      <c r="A40" s="25" t="s">
        <v>29</v>
      </c>
      <c r="B40" s="29" t="s">
        <v>76</v>
      </c>
      <c r="C40" s="26"/>
      <c r="D40" s="26"/>
      <c r="E40" s="26"/>
      <c r="F40" s="26"/>
      <c r="G40" s="18">
        <f>ROUND(+G13-G20-G24+G29-G38,0)</f>
        <v>101412</v>
      </c>
      <c r="H40" s="11"/>
      <c r="I40" s="88">
        <f>G40/$G$48</f>
        <v>0.77030937858428727</v>
      </c>
      <c r="O40" s="47" t="s">
        <v>69</v>
      </c>
      <c r="P40" s="47" t="s">
        <v>77</v>
      </c>
      <c r="Q40" s="239" t="s">
        <v>78</v>
      </c>
      <c r="R40" s="240"/>
      <c r="S40" s="37"/>
      <c r="T40" s="37"/>
    </row>
    <row r="41" spans="1:20" x14ac:dyDescent="0.25">
      <c r="B41" s="8" t="s">
        <v>79</v>
      </c>
      <c r="H41" s="2"/>
      <c r="I41" s="87"/>
      <c r="O41" s="47" t="s">
        <v>80</v>
      </c>
      <c r="P41" s="52">
        <f>+'Ingreso Datos'!F15</f>
        <v>13401</v>
      </c>
      <c r="Q41" s="53" t="s">
        <v>81</v>
      </c>
      <c r="R41" s="47"/>
      <c r="S41" s="37"/>
      <c r="T41" s="37"/>
    </row>
    <row r="42" spans="1:20" x14ac:dyDescent="0.25">
      <c r="H42" s="2"/>
      <c r="I42" s="87"/>
      <c r="O42" s="47" t="s">
        <v>82</v>
      </c>
      <c r="P42" s="52">
        <f>+'Ingreso Datos'!F16</f>
        <v>8224</v>
      </c>
      <c r="Q42" s="53" t="s">
        <v>83</v>
      </c>
      <c r="R42" s="47"/>
      <c r="S42" s="37"/>
      <c r="T42" s="37"/>
    </row>
    <row r="43" spans="1:20" x14ac:dyDescent="0.25">
      <c r="A43" s="25" t="s">
        <v>8</v>
      </c>
      <c r="B43" s="8" t="s">
        <v>84</v>
      </c>
      <c r="C43" s="28">
        <f>C15</f>
        <v>2312858.1260000002</v>
      </c>
      <c r="E43" s="17">
        <f>+'Ingreso Datos'!H5</f>
        <v>1.9900000000000001E-2</v>
      </c>
      <c r="F43" s="17"/>
      <c r="G43" s="9">
        <f>ROUND(IF(G13&gt;=L20,L20*E43,G13*E43),0)</f>
        <v>2488</v>
      </c>
      <c r="H43" s="11"/>
      <c r="I43" s="87"/>
      <c r="O43" s="47" t="s">
        <v>85</v>
      </c>
      <c r="P43" s="52">
        <f>+'Ingreso Datos'!F17</f>
        <v>2599</v>
      </c>
      <c r="Q43" s="53" t="s">
        <v>86</v>
      </c>
      <c r="R43" s="47"/>
      <c r="S43" s="37"/>
      <c r="T43" s="37"/>
    </row>
    <row r="44" spans="1:20" x14ac:dyDescent="0.25">
      <c r="A44" s="25" t="s">
        <v>8</v>
      </c>
      <c r="B44" s="8" t="s">
        <v>87</v>
      </c>
      <c r="C44" s="28">
        <f>C43</f>
        <v>2312858.1260000002</v>
      </c>
      <c r="E44" s="17">
        <f>+'Ingreso Datos'!F29</f>
        <v>9.2999999999999992E-3</v>
      </c>
      <c r="F44" s="17"/>
      <c r="G44" s="9">
        <f>ROUND(IF(G13&gt;=L20,L20*E44,G13*E44),0)</f>
        <v>1163</v>
      </c>
      <c r="H44" s="11"/>
      <c r="I44" s="87"/>
      <c r="K44" t="s">
        <v>88</v>
      </c>
      <c r="L44" t="s">
        <v>89</v>
      </c>
      <c r="O44" s="47" t="s">
        <v>64</v>
      </c>
      <c r="P44" s="52">
        <v>0</v>
      </c>
      <c r="Q44" s="53" t="s">
        <v>90</v>
      </c>
      <c r="R44" s="47"/>
      <c r="S44" s="37"/>
      <c r="T44" s="37"/>
    </row>
    <row r="45" spans="1:20" ht="15.75" thickBot="1" x14ac:dyDescent="0.3">
      <c r="A45" s="25" t="s">
        <v>8</v>
      </c>
      <c r="B45" s="8" t="s">
        <v>91</v>
      </c>
      <c r="C45" s="28">
        <f>C19</f>
        <v>3472171.0520000001</v>
      </c>
      <c r="D45" s="12" t="str">
        <f>E19</f>
        <v>Indefinido</v>
      </c>
      <c r="E45" s="17">
        <f>VLOOKUP(D45,$J$49:$K$50,2,0)</f>
        <v>2.4E-2</v>
      </c>
      <c r="F45" s="17"/>
      <c r="G45" s="9">
        <f>ROUND(IF(G13&gt;=L25,L25*E45,G13*E45),0)</f>
        <v>3000</v>
      </c>
      <c r="H45" s="11"/>
      <c r="I45" s="87"/>
      <c r="J45">
        <v>74.3</v>
      </c>
      <c r="K45" s="22">
        <f>L18</f>
        <v>28838.63</v>
      </c>
      <c r="L45" s="13">
        <f>+J45*K45</f>
        <v>2142710.2089999998</v>
      </c>
      <c r="O45" s="37"/>
      <c r="P45" s="37"/>
      <c r="Q45" s="37"/>
      <c r="R45" s="37"/>
      <c r="S45" s="37"/>
      <c r="T45" s="37"/>
    </row>
    <row r="46" spans="1:20" ht="15.75" thickBot="1" x14ac:dyDescent="0.3">
      <c r="A46" s="25" t="s">
        <v>29</v>
      </c>
      <c r="B46" s="3" t="s">
        <v>92</v>
      </c>
      <c r="C46" s="26"/>
      <c r="D46" s="26"/>
      <c r="E46" s="26"/>
      <c r="F46" s="26"/>
      <c r="G46" s="18">
        <f>ROUND(SUM(G43:G45),0)</f>
        <v>6651</v>
      </c>
      <c r="H46" s="11"/>
      <c r="I46" s="88">
        <f>G46/$G$48</f>
        <v>5.0519935283438788E-2</v>
      </c>
      <c r="J46">
        <v>74.3</v>
      </c>
      <c r="K46" s="22">
        <f>K45</f>
        <v>28838.63</v>
      </c>
      <c r="L46" s="13">
        <f>+J46*K46</f>
        <v>2142710.2089999998</v>
      </c>
      <c r="O46" s="235" t="s">
        <v>47</v>
      </c>
      <c r="P46" s="236"/>
      <c r="Q46" s="236"/>
      <c r="R46" s="236"/>
      <c r="S46" s="236"/>
      <c r="T46" s="237"/>
    </row>
    <row r="47" spans="1:20" ht="15.75" customHeight="1" thickBot="1" x14ac:dyDescent="0.3">
      <c r="G47" s="13"/>
      <c r="H47" s="11"/>
      <c r="I47" s="87"/>
      <c r="J47">
        <v>111.4</v>
      </c>
      <c r="K47" s="22">
        <f>K46</f>
        <v>28838.63</v>
      </c>
      <c r="L47" s="13">
        <f>+J47*K47</f>
        <v>3212623.3820000002</v>
      </c>
      <c r="O47" s="37" t="s">
        <v>48</v>
      </c>
      <c r="P47" s="37" t="s">
        <v>49</v>
      </c>
      <c r="Q47" s="72" t="str">
        <f>+'Ingreso Datos'!C2</f>
        <v>Octubre</v>
      </c>
      <c r="R47" s="38">
        <f>+R59</f>
        <v>0</v>
      </c>
      <c r="S47" s="39">
        <f>+'Ingreso Datos'!F22</f>
        <v>50372</v>
      </c>
    </row>
    <row r="48" spans="1:20" ht="15.75" thickBot="1" x14ac:dyDescent="0.3">
      <c r="A48" s="25" t="s">
        <v>29</v>
      </c>
      <c r="B48" s="29" t="s">
        <v>93</v>
      </c>
      <c r="C48" s="26"/>
      <c r="D48" s="26"/>
      <c r="E48" s="26"/>
      <c r="F48" s="26"/>
      <c r="G48" s="18">
        <f>ROUND(+G13+G29+G46,0)</f>
        <v>131651</v>
      </c>
      <c r="H48" s="11"/>
      <c r="I48" s="87"/>
      <c r="O48" s="37" t="s">
        <v>52</v>
      </c>
      <c r="P48" s="37" t="s">
        <v>53</v>
      </c>
      <c r="Q48" s="37" t="s">
        <v>54</v>
      </c>
      <c r="R48" s="37" t="s">
        <v>55</v>
      </c>
      <c r="S48" s="37" t="s">
        <v>56</v>
      </c>
      <c r="T48" s="38" t="s">
        <v>57</v>
      </c>
    </row>
    <row r="49" spans="2:20" ht="15.75" thickBot="1" x14ac:dyDescent="0.3">
      <c r="H49" s="11"/>
      <c r="I49" s="87"/>
      <c r="J49" t="s">
        <v>44</v>
      </c>
      <c r="K49" s="21">
        <v>2.4E-2</v>
      </c>
      <c r="O49" s="40">
        <v>1</v>
      </c>
      <c r="P49" s="41">
        <f>0*S47</f>
        <v>0</v>
      </c>
      <c r="Q49" s="42">
        <f>13.5*S47</f>
        <v>680022</v>
      </c>
      <c r="R49" s="43">
        <f>0*S47</f>
        <v>0</v>
      </c>
      <c r="S49" s="43">
        <f>0*S47</f>
        <v>0</v>
      </c>
      <c r="T49" s="44">
        <v>0</v>
      </c>
    </row>
    <row r="50" spans="2:20" ht="15.75" thickBot="1" x14ac:dyDescent="0.3">
      <c r="H50" s="11"/>
      <c r="J50" t="s">
        <v>66</v>
      </c>
      <c r="K50" s="21">
        <v>0.03</v>
      </c>
      <c r="O50" s="40">
        <v>2</v>
      </c>
      <c r="P50" s="42">
        <f>13.5000002224447*S47</f>
        <v>680022.0112049845</v>
      </c>
      <c r="Q50" s="42">
        <f>30*S47</f>
        <v>1511160</v>
      </c>
      <c r="R50" s="43">
        <v>0.04</v>
      </c>
      <c r="S50" s="42">
        <f>0.54*S47</f>
        <v>27200.880000000001</v>
      </c>
      <c r="T50" s="44">
        <v>2.1999999999999999E-2</v>
      </c>
    </row>
    <row r="51" spans="2:20" ht="15.75" thickBot="1" x14ac:dyDescent="0.3">
      <c r="G51" s="13"/>
      <c r="H51" s="11"/>
      <c r="O51" s="40">
        <v>3</v>
      </c>
      <c r="P51" s="42">
        <f>30.0000002224447*S47</f>
        <v>1511160.0112049845</v>
      </c>
      <c r="Q51" s="42">
        <f>50*S47</f>
        <v>2518600</v>
      </c>
      <c r="R51" s="43">
        <v>0.08</v>
      </c>
      <c r="S51" s="42">
        <f>1.74*S47</f>
        <v>87647.28</v>
      </c>
      <c r="T51" s="44">
        <v>4.5199999999999997E-2</v>
      </c>
    </row>
    <row r="52" spans="2:20" ht="15.75" thickBot="1" x14ac:dyDescent="0.3">
      <c r="G52" s="13"/>
      <c r="H52" s="11"/>
      <c r="I52" s="1" t="s">
        <v>94</v>
      </c>
      <c r="O52" s="40">
        <v>4</v>
      </c>
      <c r="P52" s="42">
        <f>50.0000002224447*S47</f>
        <v>2518600.0112049845</v>
      </c>
      <c r="Q52" s="42">
        <f>70*S47</f>
        <v>3526040</v>
      </c>
      <c r="R52" s="43">
        <v>0.13500000000000001</v>
      </c>
      <c r="S52" s="42">
        <f>4.49*S47</f>
        <v>226170.28</v>
      </c>
      <c r="T52" s="44">
        <v>7.0900000000000005E-2</v>
      </c>
    </row>
    <row r="53" spans="2:20" ht="15.75" thickBot="1" x14ac:dyDescent="0.3">
      <c r="H53" s="2"/>
      <c r="I53" s="229" t="s">
        <v>43</v>
      </c>
      <c r="J53" s="229"/>
      <c r="K53" s="47" t="s">
        <v>95</v>
      </c>
      <c r="L53" s="47" t="s">
        <v>96</v>
      </c>
      <c r="O53" s="40">
        <v>5</v>
      </c>
      <c r="P53" s="42">
        <f>70.0000002224447*S47</f>
        <v>3526040.0112049845</v>
      </c>
      <c r="Q53" s="42">
        <f>90*S47</f>
        <v>4533480</v>
      </c>
      <c r="R53" s="43">
        <v>0.23</v>
      </c>
      <c r="S53" s="42">
        <f>11.14*S47</f>
        <v>561144.08000000007</v>
      </c>
      <c r="T53" s="44">
        <v>0.1062</v>
      </c>
    </row>
    <row r="54" spans="2:20" ht="15.75" thickBot="1" x14ac:dyDescent="0.3">
      <c r="H54" s="2"/>
      <c r="I54" s="241" t="s">
        <v>66</v>
      </c>
      <c r="J54" s="241"/>
      <c r="K54" s="54">
        <v>0</v>
      </c>
      <c r="L54" s="54">
        <v>0.03</v>
      </c>
      <c r="O54" s="40">
        <v>6</v>
      </c>
      <c r="P54" s="42">
        <f>90.0000002224447*S47</f>
        <v>4533480.011204984</v>
      </c>
      <c r="Q54" s="42">
        <f>120*S47</f>
        <v>6044640</v>
      </c>
      <c r="R54" s="43">
        <v>0.30399999999999999</v>
      </c>
      <c r="S54" s="42">
        <f>17.8*S47</f>
        <v>896621.60000000009</v>
      </c>
      <c r="T54" s="44">
        <v>0.15570000000000001</v>
      </c>
    </row>
    <row r="55" spans="2:20" ht="15.75" thickBot="1" x14ac:dyDescent="0.3">
      <c r="H55" s="2"/>
      <c r="I55" s="241" t="s">
        <v>44</v>
      </c>
      <c r="J55" s="241"/>
      <c r="K55" s="55">
        <v>6.0000000000000001E-3</v>
      </c>
      <c r="L55" s="56">
        <f>(N55+N56)</f>
        <v>2.4E-2</v>
      </c>
      <c r="M55" s="57" t="s">
        <v>97</v>
      </c>
      <c r="N55" s="21">
        <v>1.6E-2</v>
      </c>
      <c r="O55" s="40">
        <v>7</v>
      </c>
      <c r="P55" s="42">
        <f>120.000000222445*S47</f>
        <v>6044640.0112049989</v>
      </c>
      <c r="Q55" s="42">
        <f>150*S47</f>
        <v>7555800</v>
      </c>
      <c r="R55" s="43">
        <v>0.35</v>
      </c>
      <c r="S55" s="42">
        <f>23.32*S47</f>
        <v>1174675.04</v>
      </c>
      <c r="T55" s="44">
        <v>0.19550000000000001</v>
      </c>
    </row>
    <row r="56" spans="2:20" ht="21.75" thickBot="1" x14ac:dyDescent="0.35">
      <c r="B56" s="242" t="s">
        <v>98</v>
      </c>
      <c r="C56" s="242"/>
      <c r="D56" s="242"/>
      <c r="E56" s="242"/>
      <c r="M56" s="58" t="s">
        <v>99</v>
      </c>
      <c r="N56" s="21">
        <v>8.0000000000000002E-3</v>
      </c>
      <c r="O56" s="40">
        <v>8</v>
      </c>
      <c r="P56" s="42">
        <f>150.000000222445*S47</f>
        <v>7555800.0112049999</v>
      </c>
      <c r="Q56" s="50" t="s">
        <v>70</v>
      </c>
      <c r="R56" s="43">
        <v>0.4</v>
      </c>
      <c r="S56" s="42">
        <f>38.82*S47</f>
        <v>1955441.04</v>
      </c>
      <c r="T56" s="51" t="s">
        <v>71</v>
      </c>
    </row>
    <row r="57" spans="2:20" x14ac:dyDescent="0.25">
      <c r="B57" s="59" t="s">
        <v>100</v>
      </c>
      <c r="C57" s="59" t="s">
        <v>101</v>
      </c>
      <c r="D57" s="59" t="s">
        <v>102</v>
      </c>
      <c r="E57" s="59" t="s">
        <v>103</v>
      </c>
      <c r="O57" s="74"/>
      <c r="P57" s="74"/>
      <c r="Q57" s="74"/>
      <c r="R57" s="74"/>
      <c r="S57" s="74"/>
      <c r="T57" s="74"/>
    </row>
    <row r="58" spans="2:20" x14ac:dyDescent="0.25">
      <c r="B58" s="60" t="s">
        <v>9</v>
      </c>
      <c r="C58" s="61">
        <f t="shared" ref="C58:C62" si="2">G4</f>
        <v>100000</v>
      </c>
      <c r="D58" s="60"/>
      <c r="E58" s="62" t="s">
        <v>104</v>
      </c>
      <c r="O58" s="230"/>
      <c r="P58" s="230"/>
      <c r="Q58" s="230"/>
      <c r="R58" s="230"/>
      <c r="S58" s="230"/>
      <c r="T58" s="230"/>
    </row>
    <row r="59" spans="2:20" x14ac:dyDescent="0.25">
      <c r="B59" s="60" t="s">
        <v>12</v>
      </c>
      <c r="C59" s="61">
        <f t="shared" si="2"/>
        <v>0</v>
      </c>
      <c r="D59" s="60"/>
      <c r="E59" s="62" t="s">
        <v>104</v>
      </c>
      <c r="O59" s="82"/>
      <c r="P59" s="82"/>
      <c r="Q59" s="82"/>
      <c r="R59" s="83"/>
      <c r="S59" s="84"/>
      <c r="T59" s="85"/>
    </row>
    <row r="60" spans="2:20" x14ac:dyDescent="0.25">
      <c r="B60" s="60" t="s">
        <v>16</v>
      </c>
      <c r="C60" s="61">
        <f t="shared" si="2"/>
        <v>0</v>
      </c>
      <c r="D60" s="60"/>
      <c r="E60" s="62" t="s">
        <v>104</v>
      </c>
      <c r="O60" s="82"/>
      <c r="P60" s="82"/>
      <c r="Q60" s="82"/>
      <c r="R60" s="82"/>
      <c r="S60" s="82"/>
      <c r="T60" s="83"/>
    </row>
    <row r="61" spans="2:20" x14ac:dyDescent="0.25">
      <c r="B61" s="60" t="s">
        <v>18</v>
      </c>
      <c r="C61" s="61">
        <f t="shared" si="2"/>
        <v>0</v>
      </c>
      <c r="D61" s="60"/>
      <c r="E61" s="62" t="s">
        <v>104</v>
      </c>
      <c r="O61" s="75"/>
      <c r="P61" s="76"/>
      <c r="Q61" s="77"/>
      <c r="R61" s="78"/>
      <c r="S61" s="78"/>
      <c r="T61" s="79"/>
    </row>
    <row r="62" spans="2:20" x14ac:dyDescent="0.25">
      <c r="B62" s="60" t="s">
        <v>23</v>
      </c>
      <c r="C62" s="61">
        <f t="shared" si="2"/>
        <v>0</v>
      </c>
      <c r="D62" s="60"/>
      <c r="E62" s="62" t="s">
        <v>104</v>
      </c>
      <c r="O62" s="75"/>
      <c r="P62" s="77"/>
      <c r="Q62" s="77"/>
      <c r="R62" s="78"/>
      <c r="S62" s="77"/>
      <c r="T62" s="79"/>
    </row>
    <row r="63" spans="2:20" x14ac:dyDescent="0.25">
      <c r="B63" s="60" t="s">
        <v>105</v>
      </c>
      <c r="C63" s="61">
        <f>G11</f>
        <v>25000</v>
      </c>
      <c r="D63" s="60"/>
      <c r="E63" s="62" t="s">
        <v>104</v>
      </c>
      <c r="O63" s="75"/>
      <c r="P63" s="77"/>
      <c r="Q63" s="77"/>
      <c r="R63" s="78"/>
      <c r="S63" s="77"/>
      <c r="T63" s="79"/>
    </row>
    <row r="64" spans="2:20" x14ac:dyDescent="0.25">
      <c r="B64" s="60" t="s">
        <v>62</v>
      </c>
      <c r="C64" s="61">
        <f>G26</f>
        <v>0</v>
      </c>
      <c r="D64" s="60"/>
      <c r="E64" s="63" t="s">
        <v>106</v>
      </c>
      <c r="O64" s="75"/>
      <c r="P64" s="77"/>
      <c r="Q64" s="77"/>
      <c r="R64" s="78"/>
      <c r="S64" s="77"/>
      <c r="T64" s="79"/>
    </row>
    <row r="65" spans="2:20" x14ac:dyDescent="0.25">
      <c r="B65" s="60" t="s">
        <v>65</v>
      </c>
      <c r="C65" s="61">
        <f>G27</f>
        <v>0</v>
      </c>
      <c r="D65" s="60"/>
      <c r="E65" s="62" t="s">
        <v>104</v>
      </c>
      <c r="O65" s="75"/>
      <c r="P65" s="77"/>
      <c r="Q65" s="77"/>
      <c r="R65" s="78"/>
      <c r="S65" s="77"/>
      <c r="T65" s="79"/>
    </row>
    <row r="66" spans="2:20" x14ac:dyDescent="0.25">
      <c r="B66" s="60" t="s">
        <v>67</v>
      </c>
      <c r="C66" s="61">
        <f>G28</f>
        <v>0</v>
      </c>
      <c r="D66" s="60"/>
      <c r="E66" s="62" t="s">
        <v>104</v>
      </c>
      <c r="O66" s="75"/>
      <c r="P66" s="77"/>
      <c r="Q66" s="77"/>
      <c r="R66" s="78"/>
      <c r="S66" s="77"/>
      <c r="T66" s="79"/>
    </row>
    <row r="67" spans="2:20" x14ac:dyDescent="0.25">
      <c r="B67" s="60" t="s">
        <v>33</v>
      </c>
      <c r="C67" s="60"/>
      <c r="D67" s="61">
        <f>G15</f>
        <v>14088</v>
      </c>
      <c r="E67" s="62" t="s">
        <v>107</v>
      </c>
      <c r="O67" s="75"/>
      <c r="P67" s="77"/>
      <c r="Q67" s="77"/>
      <c r="R67" s="78"/>
      <c r="S67" s="77"/>
      <c r="T67" s="79"/>
    </row>
    <row r="68" spans="2:20" x14ac:dyDescent="0.25">
      <c r="B68" s="60" t="s">
        <v>35</v>
      </c>
      <c r="C68" s="60"/>
      <c r="D68" s="61">
        <f>G16</f>
        <v>8750</v>
      </c>
      <c r="E68" s="62" t="s">
        <v>107</v>
      </c>
      <c r="K68" t="s">
        <v>154</v>
      </c>
      <c r="L68" t="s">
        <v>48</v>
      </c>
      <c r="O68" s="75"/>
      <c r="P68" s="77"/>
      <c r="Q68" s="80"/>
      <c r="R68" s="78"/>
      <c r="S68" s="77"/>
      <c r="T68" s="81"/>
    </row>
    <row r="69" spans="2:20" x14ac:dyDescent="0.25">
      <c r="B69" s="60" t="s">
        <v>108</v>
      </c>
      <c r="C69" s="60"/>
      <c r="D69" s="61">
        <f>G17</f>
        <v>0</v>
      </c>
      <c r="E69" s="62" t="s">
        <v>107</v>
      </c>
      <c r="O69" s="74"/>
      <c r="P69" s="74"/>
      <c r="Q69" s="74"/>
      <c r="R69" s="74"/>
      <c r="S69" s="74"/>
      <c r="T69" s="74"/>
    </row>
    <row r="70" spans="2:20" x14ac:dyDescent="0.25">
      <c r="B70" s="60" t="s">
        <v>40</v>
      </c>
      <c r="C70" s="60"/>
      <c r="D70" s="61">
        <f>G18</f>
        <v>0</v>
      </c>
      <c r="E70" s="62" t="s">
        <v>107</v>
      </c>
      <c r="K70" t="s">
        <v>155</v>
      </c>
      <c r="L70" s="73">
        <v>49673</v>
      </c>
      <c r="O70" s="74"/>
      <c r="P70" s="74"/>
      <c r="Q70" s="74"/>
      <c r="R70" s="74"/>
      <c r="S70" s="74"/>
      <c r="T70" s="74"/>
    </row>
    <row r="71" spans="2:20" x14ac:dyDescent="0.25">
      <c r="B71" s="60" t="s">
        <v>41</v>
      </c>
      <c r="C71" s="60"/>
      <c r="D71" s="61">
        <f>G19</f>
        <v>750</v>
      </c>
      <c r="E71" s="62" t="s">
        <v>107</v>
      </c>
      <c r="K71" t="s">
        <v>156</v>
      </c>
      <c r="L71" s="73">
        <v>49723</v>
      </c>
      <c r="O71" s="74"/>
      <c r="P71" s="74"/>
      <c r="Q71" s="74"/>
      <c r="R71" s="74"/>
      <c r="S71" s="74"/>
      <c r="T71" s="74"/>
    </row>
    <row r="72" spans="2:20" x14ac:dyDescent="0.25">
      <c r="B72" s="60" t="s">
        <v>109</v>
      </c>
      <c r="C72" s="60"/>
      <c r="D72" s="61">
        <f>G24</f>
        <v>0</v>
      </c>
      <c r="E72" s="62" t="s">
        <v>107</v>
      </c>
      <c r="K72" t="s">
        <v>157</v>
      </c>
      <c r="L72" s="73">
        <v>50021</v>
      </c>
      <c r="O72" s="74"/>
      <c r="P72" s="74"/>
      <c r="Q72" s="74"/>
      <c r="R72" s="74"/>
      <c r="S72" s="74"/>
      <c r="T72" s="74"/>
    </row>
    <row r="73" spans="2:20" x14ac:dyDescent="0.25">
      <c r="B73" s="60" t="s">
        <v>72</v>
      </c>
      <c r="C73" s="60"/>
      <c r="D73" s="61">
        <f>G31</f>
        <v>0</v>
      </c>
      <c r="E73" s="63" t="s">
        <v>106</v>
      </c>
      <c r="K73" t="s">
        <v>158</v>
      </c>
      <c r="L73" s="73">
        <v>50221</v>
      </c>
    </row>
    <row r="74" spans="2:20" x14ac:dyDescent="0.25">
      <c r="B74" s="60" t="s">
        <v>73</v>
      </c>
      <c r="C74" s="60"/>
      <c r="D74" s="61">
        <f>G34</f>
        <v>0</v>
      </c>
      <c r="E74" s="62" t="s">
        <v>107</v>
      </c>
      <c r="K74" t="s">
        <v>159</v>
      </c>
      <c r="L74" s="73">
        <v>50372</v>
      </c>
    </row>
    <row r="75" spans="2:20" x14ac:dyDescent="0.25">
      <c r="B75" s="60" t="s">
        <v>74</v>
      </c>
      <c r="C75" s="60"/>
      <c r="D75" s="61">
        <f>G37</f>
        <v>0</v>
      </c>
      <c r="E75" s="62" t="s">
        <v>107</v>
      </c>
      <c r="K75" t="s">
        <v>160</v>
      </c>
      <c r="L75" s="73">
        <v>50372</v>
      </c>
    </row>
    <row r="76" spans="2:20" x14ac:dyDescent="0.25">
      <c r="B76" s="60" t="s">
        <v>110</v>
      </c>
      <c r="C76" s="60"/>
      <c r="D76" s="61">
        <f>G40</f>
        <v>101412</v>
      </c>
      <c r="E76" s="62" t="s">
        <v>107</v>
      </c>
      <c r="K76" t="s">
        <v>161</v>
      </c>
      <c r="L76" s="73">
        <v>50372</v>
      </c>
    </row>
    <row r="77" spans="2:20" x14ac:dyDescent="0.25">
      <c r="B77" s="60" t="s">
        <v>84</v>
      </c>
      <c r="C77" s="61">
        <f>G43</f>
        <v>2488</v>
      </c>
      <c r="D77" s="61"/>
      <c r="E77" s="62" t="s">
        <v>104</v>
      </c>
      <c r="K77" t="s">
        <v>50</v>
      </c>
      <c r="L77" s="73">
        <v>50272</v>
      </c>
    </row>
    <row r="78" spans="2:20" x14ac:dyDescent="0.25">
      <c r="B78" s="60" t="s">
        <v>87</v>
      </c>
      <c r="C78" s="61">
        <f>G44</f>
        <v>1163</v>
      </c>
      <c r="D78" s="61"/>
      <c r="E78" s="62" t="s">
        <v>104</v>
      </c>
      <c r="K78" t="s">
        <v>162</v>
      </c>
      <c r="L78" s="73">
        <v>50322</v>
      </c>
    </row>
    <row r="79" spans="2:20" x14ac:dyDescent="0.25">
      <c r="B79" s="60" t="s">
        <v>91</v>
      </c>
      <c r="C79" s="61">
        <f>G45</f>
        <v>3000</v>
      </c>
      <c r="D79" s="61"/>
      <c r="E79" s="62" t="s">
        <v>104</v>
      </c>
      <c r="K79" t="s">
        <v>163</v>
      </c>
      <c r="L79" s="73">
        <v>50372</v>
      </c>
    </row>
    <row r="80" spans="2:20" x14ac:dyDescent="0.25">
      <c r="B80" s="60" t="s">
        <v>111</v>
      </c>
      <c r="C80" s="61"/>
      <c r="D80" s="61">
        <f>C77</f>
        <v>2488</v>
      </c>
      <c r="E80" s="62" t="s">
        <v>107</v>
      </c>
      <c r="K80" t="s">
        <v>164</v>
      </c>
      <c r="L80" s="73">
        <v>50674</v>
      </c>
    </row>
    <row r="81" spans="2:12" x14ac:dyDescent="0.25">
      <c r="B81" s="60" t="s">
        <v>112</v>
      </c>
      <c r="C81" s="61"/>
      <c r="D81" s="61">
        <f>C78</f>
        <v>1163</v>
      </c>
      <c r="E81" s="62" t="s">
        <v>107</v>
      </c>
      <c r="K81" t="s">
        <v>165</v>
      </c>
      <c r="L81" s="73">
        <v>51029</v>
      </c>
    </row>
    <row r="82" spans="2:12" x14ac:dyDescent="0.25">
      <c r="B82" s="60" t="s">
        <v>113</v>
      </c>
      <c r="C82" s="61"/>
      <c r="D82" s="61">
        <f>C79</f>
        <v>3000</v>
      </c>
      <c r="E82" s="62" t="s">
        <v>107</v>
      </c>
    </row>
    <row r="83" spans="2:12" x14ac:dyDescent="0.25">
      <c r="B83" s="64" t="s">
        <v>114</v>
      </c>
      <c r="C83" s="65">
        <f>SUM(C58:C82)</f>
        <v>131651</v>
      </c>
      <c r="D83" s="65">
        <f>SUM(D58:D82)</f>
        <v>131651</v>
      </c>
      <c r="E83" s="60"/>
      <c r="K83" t="s">
        <v>167</v>
      </c>
    </row>
    <row r="85" spans="2:12" x14ac:dyDescent="0.25">
      <c r="K85">
        <v>2020</v>
      </c>
    </row>
    <row r="86" spans="2:12" x14ac:dyDescent="0.25">
      <c r="K86">
        <v>2021</v>
      </c>
    </row>
    <row r="87" spans="2:12" x14ac:dyDescent="0.25">
      <c r="K87">
        <v>2022</v>
      </c>
    </row>
    <row r="88" spans="2:12" x14ac:dyDescent="0.25">
      <c r="K88">
        <v>2023</v>
      </c>
    </row>
    <row r="89" spans="2:12" x14ac:dyDescent="0.25">
      <c r="K89">
        <v>2024</v>
      </c>
    </row>
    <row r="90" spans="2:12" x14ac:dyDescent="0.25">
      <c r="K90">
        <v>2025</v>
      </c>
    </row>
    <row r="92" spans="2:12" x14ac:dyDescent="0.25">
      <c r="K92" t="s">
        <v>168</v>
      </c>
    </row>
  </sheetData>
  <mergeCells count="17">
    <mergeCell ref="O58:T58"/>
    <mergeCell ref="B1:G1"/>
    <mergeCell ref="D4:E4"/>
    <mergeCell ref="O4:R4"/>
    <mergeCell ref="O46:T46"/>
    <mergeCell ref="B24:C24"/>
    <mergeCell ref="Q40:R40"/>
    <mergeCell ref="I53:J53"/>
    <mergeCell ref="I54:J54"/>
    <mergeCell ref="I55:J55"/>
    <mergeCell ref="B56:E56"/>
    <mergeCell ref="O20:T20"/>
    <mergeCell ref="X26:Y26"/>
    <mergeCell ref="V27:W27"/>
    <mergeCell ref="X27:Y27"/>
    <mergeCell ref="V28:W28"/>
    <mergeCell ref="O39:R39"/>
  </mergeCells>
  <phoneticPr fontId="26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DFD48-6266-4744-9D7B-48B6442C13C3}">
  <sheetPr codeName="Hoja3">
    <pageSetUpPr fitToPage="1"/>
  </sheetPr>
  <dimension ref="A1:HRC95"/>
  <sheetViews>
    <sheetView showRowColHeaders="0" zoomScaleNormal="100" workbookViewId="0">
      <selection activeCell="E34" sqref="E34"/>
    </sheetView>
  </sheetViews>
  <sheetFormatPr baseColWidth="10" defaultRowHeight="15" x14ac:dyDescent="0.25"/>
  <cols>
    <col min="1" max="1" width="40.42578125" style="69" customWidth="1"/>
    <col min="2" max="2" width="11.42578125" style="69"/>
    <col min="3" max="3" width="1.7109375" customWidth="1"/>
    <col min="4" max="4" width="59.85546875" customWidth="1"/>
    <col min="5" max="5" width="13.28515625" bestFit="1" customWidth="1"/>
    <col min="6" max="6" width="10.42578125" customWidth="1"/>
    <col min="7" max="7" width="13.7109375" customWidth="1"/>
    <col min="8" max="8" width="1.7109375" customWidth="1"/>
    <col min="9" max="5879" width="11.42578125" style="69"/>
  </cols>
  <sheetData>
    <row r="1" spans="3:8" ht="18.75" x14ac:dyDescent="0.3">
      <c r="C1" s="107"/>
      <c r="D1" s="231" t="s">
        <v>209</v>
      </c>
      <c r="E1" s="231"/>
      <c r="F1" s="231"/>
      <c r="G1" s="231"/>
      <c r="H1" s="107"/>
    </row>
    <row r="2" spans="3:8" ht="18.75" x14ac:dyDescent="0.3">
      <c r="C2" s="107"/>
      <c r="D2" s="231" t="s">
        <v>208</v>
      </c>
      <c r="E2" s="231"/>
      <c r="F2" s="231"/>
      <c r="G2" s="231"/>
      <c r="H2" s="107"/>
    </row>
    <row r="3" spans="3:8" ht="24" thickBot="1" x14ac:dyDescent="0.4">
      <c r="C3" s="107"/>
      <c r="D3" s="246" t="str">
        <f>+'Ingreso Datos'!B4</f>
        <v>NN</v>
      </c>
      <c r="E3" s="246"/>
      <c r="F3" s="246"/>
      <c r="G3" s="246"/>
      <c r="H3" s="107"/>
    </row>
    <row r="4" spans="3:8" ht="19.5" thickBot="1" x14ac:dyDescent="0.35">
      <c r="C4" s="107"/>
      <c r="D4" s="95" t="s">
        <v>210</v>
      </c>
      <c r="E4" s="95" t="str">
        <f>+'Ingreso Datos'!C2</f>
        <v>Octubre</v>
      </c>
      <c r="F4" s="95">
        <f>+'Ingreso Datos'!C3</f>
        <v>2020</v>
      </c>
      <c r="G4" s="95"/>
      <c r="H4" s="107"/>
    </row>
    <row r="5" spans="3:8" ht="19.5" thickBot="1" x14ac:dyDescent="0.35">
      <c r="C5" s="107"/>
      <c r="D5" s="243" t="s">
        <v>175</v>
      </c>
      <c r="E5" s="244"/>
      <c r="F5" s="244"/>
      <c r="G5" s="245"/>
      <c r="H5" s="107"/>
    </row>
    <row r="6" spans="3:8" ht="15.75" thickBot="1" x14ac:dyDescent="0.3">
      <c r="C6" s="108"/>
      <c r="D6" s="3" t="s">
        <v>177</v>
      </c>
      <c r="E6" s="4"/>
      <c r="F6" s="4"/>
      <c r="G6" s="5" t="s">
        <v>6</v>
      </c>
      <c r="H6" s="108"/>
    </row>
    <row r="7" spans="3:8" ht="15.75" thickBot="1" x14ac:dyDescent="0.3">
      <c r="C7" s="109"/>
      <c r="D7" s="99" t="s">
        <v>9</v>
      </c>
      <c r="E7" s="96" t="s">
        <v>213</v>
      </c>
      <c r="F7" s="67">
        <f>+'Ingreso Datos'!B14</f>
        <v>30</v>
      </c>
      <c r="G7" s="110">
        <f>+'base de datos'!G4</f>
        <v>100000</v>
      </c>
      <c r="H7" s="109"/>
    </row>
    <row r="8" spans="3:8" ht="15.75" thickBot="1" x14ac:dyDescent="0.3">
      <c r="C8" s="109"/>
      <c r="D8" s="8" t="s">
        <v>12</v>
      </c>
      <c r="F8" s="67">
        <f>+'Ingreso Datos'!B21</f>
        <v>0</v>
      </c>
      <c r="G8" s="110">
        <f>+'base de datos'!G5</f>
        <v>0</v>
      </c>
      <c r="H8" s="109"/>
    </row>
    <row r="9" spans="3:8" x14ac:dyDescent="0.25">
      <c r="C9" s="109"/>
      <c r="D9" s="8" t="str">
        <f>+'Ingreso Datos'!A18</f>
        <v>Bono Producción</v>
      </c>
      <c r="E9" s="8"/>
      <c r="F9" s="8"/>
      <c r="G9" s="110">
        <f>+'base de datos'!G6</f>
        <v>0</v>
      </c>
      <c r="H9" s="109"/>
    </row>
    <row r="10" spans="3:8" x14ac:dyDescent="0.25">
      <c r="C10" s="109"/>
      <c r="D10" s="8" t="s">
        <v>211</v>
      </c>
      <c r="E10" s="12"/>
      <c r="F10" s="17">
        <f>+'Ingreso Datos'!B13</f>
        <v>0</v>
      </c>
      <c r="G10" s="110">
        <f>+'base de datos'!G7</f>
        <v>0</v>
      </c>
      <c r="H10" s="109"/>
    </row>
    <row r="11" spans="3:8" x14ac:dyDescent="0.25">
      <c r="C11" s="109"/>
      <c r="D11" s="8" t="s">
        <v>23</v>
      </c>
      <c r="E11" s="20"/>
      <c r="F11" s="10"/>
      <c r="G11" s="110">
        <f>+'base de datos'!G8</f>
        <v>0</v>
      </c>
      <c r="H11" s="109"/>
    </row>
    <row r="12" spans="3:8" x14ac:dyDescent="0.25">
      <c r="C12" s="109"/>
      <c r="D12" s="8" t="str">
        <f>+'base de datos'!B9</f>
        <v>Aguinaldos</v>
      </c>
      <c r="E12" s="20"/>
      <c r="F12" s="10"/>
      <c r="G12" s="110">
        <f>+'base de datos'!G9</f>
        <v>0</v>
      </c>
      <c r="H12" s="109"/>
    </row>
    <row r="13" spans="3:8" x14ac:dyDescent="0.25">
      <c r="C13" s="109"/>
      <c r="D13" s="8" t="s">
        <v>212</v>
      </c>
      <c r="E13" s="10"/>
      <c r="F13" s="8"/>
      <c r="G13" s="110">
        <f>+'base de datos'!G11</f>
        <v>25000</v>
      </c>
      <c r="H13" s="109"/>
    </row>
    <row r="14" spans="3:8" x14ac:dyDescent="0.25">
      <c r="C14" s="109"/>
      <c r="D14" s="106" t="str">
        <f>+'base de datos'!B10</f>
        <v>otros</v>
      </c>
      <c r="G14" s="73">
        <f>+'base de datos'!G10</f>
        <v>0</v>
      </c>
      <c r="H14" s="109"/>
    </row>
    <row r="15" spans="3:8" x14ac:dyDescent="0.25">
      <c r="C15" s="109"/>
      <c r="D15" s="3" t="s">
        <v>30</v>
      </c>
      <c r="E15" s="26"/>
      <c r="F15" s="26"/>
      <c r="G15" s="111">
        <f>+'base de datos'!G13</f>
        <v>125000</v>
      </c>
      <c r="H15" s="109"/>
    </row>
    <row r="16" spans="3:8" x14ac:dyDescent="0.25">
      <c r="C16" s="107"/>
      <c r="H16" s="107"/>
    </row>
    <row r="17" spans="3:8" x14ac:dyDescent="0.25">
      <c r="C17" s="107"/>
      <c r="D17" s="3" t="s">
        <v>178</v>
      </c>
      <c r="E17" s="4"/>
      <c r="F17" s="4"/>
      <c r="G17" s="5" t="s">
        <v>6</v>
      </c>
      <c r="H17" s="107"/>
    </row>
    <row r="18" spans="3:8" x14ac:dyDescent="0.25">
      <c r="C18" s="109"/>
      <c r="D18" s="8" t="s">
        <v>214</v>
      </c>
      <c r="E18" s="10"/>
      <c r="F18" s="12">
        <f>+'base de datos'!F26</f>
        <v>0</v>
      </c>
      <c r="G18" s="112">
        <f>+'base de datos'!G26</f>
        <v>0</v>
      </c>
      <c r="H18" s="109"/>
    </row>
    <row r="19" spans="3:8" x14ac:dyDescent="0.25">
      <c r="C19" s="109"/>
      <c r="D19" s="8" t="s">
        <v>138</v>
      </c>
      <c r="F19" s="10"/>
      <c r="G19" s="112">
        <f>+'base de datos'!G27</f>
        <v>0</v>
      </c>
      <c r="H19" s="109"/>
    </row>
    <row r="20" spans="3:8" x14ac:dyDescent="0.25">
      <c r="C20" s="109"/>
      <c r="D20" s="8" t="s">
        <v>137</v>
      </c>
      <c r="F20" s="10"/>
      <c r="G20" s="112">
        <f>+'base de datos'!G28</f>
        <v>0</v>
      </c>
      <c r="H20" s="109"/>
    </row>
    <row r="21" spans="3:8" x14ac:dyDescent="0.25">
      <c r="C21" s="109"/>
      <c r="D21" t="str">
        <f>+'base de datos'!B25</f>
        <v>Viático</v>
      </c>
      <c r="G21" s="193">
        <f>+'base de datos'!G25</f>
        <v>0</v>
      </c>
      <c r="H21" s="109"/>
    </row>
    <row r="22" spans="3:8" x14ac:dyDescent="0.25">
      <c r="C22" s="109"/>
      <c r="G22" s="73"/>
      <c r="H22" s="109"/>
    </row>
    <row r="23" spans="3:8" x14ac:dyDescent="0.25">
      <c r="C23" s="107"/>
      <c r="G23" s="73"/>
      <c r="H23" s="107"/>
    </row>
    <row r="24" spans="3:8" x14ac:dyDescent="0.25">
      <c r="C24" s="109"/>
      <c r="D24" s="3" t="s">
        <v>68</v>
      </c>
      <c r="E24" s="26"/>
      <c r="F24" s="26"/>
      <c r="G24" s="111">
        <f>SUM(G18:G23)</f>
        <v>0</v>
      </c>
      <c r="H24" s="109"/>
    </row>
    <row r="25" spans="3:8" x14ac:dyDescent="0.25">
      <c r="C25" s="109"/>
      <c r="G25" s="73"/>
      <c r="H25" s="109"/>
    </row>
    <row r="26" spans="3:8" x14ac:dyDescent="0.25">
      <c r="C26" s="109"/>
      <c r="D26" s="3" t="s">
        <v>183</v>
      </c>
      <c r="E26" s="26"/>
      <c r="F26" s="26"/>
      <c r="G26" s="111">
        <f>+G15+G24</f>
        <v>125000</v>
      </c>
      <c r="H26" s="109"/>
    </row>
    <row r="27" spans="3:8" x14ac:dyDescent="0.25">
      <c r="C27" s="107"/>
      <c r="G27" s="73"/>
      <c r="H27" s="107"/>
    </row>
    <row r="28" spans="3:8" x14ac:dyDescent="0.25">
      <c r="C28" s="107"/>
      <c r="D28" s="29" t="s">
        <v>196</v>
      </c>
      <c r="E28" s="26"/>
      <c r="F28" s="26"/>
      <c r="G28" s="111">
        <f>+'base de datos'!G22</f>
        <v>101412</v>
      </c>
      <c r="H28" s="107"/>
    </row>
    <row r="29" spans="3:8" ht="15.75" thickBot="1" x14ac:dyDescent="0.3">
      <c r="C29" s="109"/>
      <c r="G29" s="73"/>
      <c r="H29" s="109"/>
    </row>
    <row r="30" spans="3:8" ht="19.5" thickBot="1" x14ac:dyDescent="0.35">
      <c r="C30" s="107"/>
      <c r="D30" s="243" t="s">
        <v>176</v>
      </c>
      <c r="E30" s="244"/>
      <c r="F30" s="244"/>
      <c r="G30" s="245"/>
      <c r="H30" s="107"/>
    </row>
    <row r="31" spans="3:8" x14ac:dyDescent="0.25">
      <c r="C31" s="108"/>
      <c r="D31" s="3" t="s">
        <v>184</v>
      </c>
      <c r="E31" s="4"/>
      <c r="F31" s="4"/>
      <c r="G31" s="5"/>
      <c r="H31" s="108"/>
    </row>
    <row r="32" spans="3:8" x14ac:dyDescent="0.25">
      <c r="C32" s="108"/>
      <c r="G32" s="13"/>
      <c r="H32" s="108"/>
    </row>
    <row r="33" spans="3:12" x14ac:dyDescent="0.25">
      <c r="C33" s="108"/>
      <c r="D33" s="8" t="s">
        <v>146</v>
      </c>
      <c r="E33" s="28" t="str">
        <f>+'base de datos'!E15</f>
        <v>Habitat</v>
      </c>
      <c r="F33" s="101">
        <f>+'base de datos'!F15</f>
        <v>0.11269999999999999</v>
      </c>
      <c r="G33" s="110">
        <f>+'base de datos'!G15</f>
        <v>14088</v>
      </c>
      <c r="H33" s="108"/>
    </row>
    <row r="34" spans="3:12" x14ac:dyDescent="0.25">
      <c r="C34" s="108"/>
      <c r="D34" s="8" t="s">
        <v>147</v>
      </c>
      <c r="E34" s="28"/>
      <c r="F34" s="101">
        <f>+'base de datos'!F16</f>
        <v>7.0000000000000007E-2</v>
      </c>
      <c r="G34" s="110">
        <f>+'base de datos'!G16</f>
        <v>8750</v>
      </c>
      <c r="H34" s="108"/>
    </row>
    <row r="35" spans="3:12" x14ac:dyDescent="0.25">
      <c r="C35" s="108"/>
      <c r="D35" s="31" t="str">
        <f>+'base de datos'!B17</f>
        <v>No Hay Plan de Salud</v>
      </c>
      <c r="F35" s="100"/>
      <c r="G35" s="110">
        <f>+'base de datos'!G17</f>
        <v>0</v>
      </c>
      <c r="H35" s="108"/>
      <c r="J35" s="105"/>
      <c r="L35" s="105"/>
    </row>
    <row r="36" spans="3:12" x14ac:dyDescent="0.25">
      <c r="C36" s="108"/>
      <c r="D36" s="8" t="s">
        <v>40</v>
      </c>
      <c r="F36" s="100"/>
      <c r="G36" s="110">
        <f>+'base de datos'!G18</f>
        <v>0</v>
      </c>
      <c r="H36" s="108"/>
    </row>
    <row r="37" spans="3:12" x14ac:dyDescent="0.25">
      <c r="C37" s="108"/>
      <c r="D37" s="8" t="s">
        <v>216</v>
      </c>
      <c r="E37" s="28"/>
      <c r="F37" s="101">
        <f>+'base de datos'!F19</f>
        <v>6.0000000000000001E-3</v>
      </c>
      <c r="G37" s="110">
        <f>+'base de datos'!G19</f>
        <v>750</v>
      </c>
      <c r="H37" s="108"/>
    </row>
    <row r="38" spans="3:12" x14ac:dyDescent="0.25">
      <c r="C38" s="108"/>
      <c r="D38" s="29" t="s">
        <v>197</v>
      </c>
      <c r="E38" s="26"/>
      <c r="F38" s="26"/>
      <c r="G38" s="111">
        <f>ROUND(SUM(G33:G37),0)</f>
        <v>23588</v>
      </c>
      <c r="H38" s="108"/>
    </row>
    <row r="39" spans="3:12" x14ac:dyDescent="0.25">
      <c r="C39" s="108"/>
      <c r="G39" s="73"/>
      <c r="H39" s="108"/>
    </row>
    <row r="40" spans="3:12" x14ac:dyDescent="0.25">
      <c r="C40" s="109"/>
      <c r="D40" s="102" t="s">
        <v>185</v>
      </c>
      <c r="E40" s="26"/>
      <c r="F40" s="26"/>
      <c r="G40" s="111">
        <f>+'base de datos'!G24</f>
        <v>0</v>
      </c>
      <c r="H40" s="109"/>
    </row>
    <row r="41" spans="3:12" x14ac:dyDescent="0.25">
      <c r="C41" s="108"/>
      <c r="G41" s="73"/>
      <c r="H41" s="108"/>
    </row>
    <row r="42" spans="3:12" x14ac:dyDescent="0.25">
      <c r="C42" s="108"/>
      <c r="D42" s="3" t="s">
        <v>199</v>
      </c>
      <c r="E42" s="4"/>
      <c r="F42" s="4"/>
      <c r="G42" s="113"/>
      <c r="H42" s="108"/>
    </row>
    <row r="43" spans="3:12" x14ac:dyDescent="0.25">
      <c r="C43" s="108"/>
      <c r="D43" s="8" t="str">
        <f>+'Ingreso Datos'!A30</f>
        <v>Anticipo</v>
      </c>
      <c r="E43" s="8"/>
      <c r="F43" s="8"/>
      <c r="G43" s="110">
        <v>100000</v>
      </c>
      <c r="H43" s="108"/>
    </row>
    <row r="44" spans="3:12" x14ac:dyDescent="0.25">
      <c r="C44" s="108"/>
      <c r="D44" s="8" t="str">
        <f>+'Ingreso Datos'!A31</f>
        <v>Descuento Farmacia</v>
      </c>
      <c r="E44" s="8"/>
      <c r="F44" s="8"/>
      <c r="G44" s="110">
        <v>0</v>
      </c>
      <c r="H44" s="108"/>
    </row>
    <row r="45" spans="3:12" x14ac:dyDescent="0.25">
      <c r="C45" s="109"/>
      <c r="D45" s="8" t="str">
        <f>+'Ingreso Datos'!A32</f>
        <v>Cuota sindical</v>
      </c>
      <c r="E45" s="8"/>
      <c r="F45" s="8"/>
      <c r="G45" s="110">
        <f>+'Ingreso Datos'!B32</f>
        <v>0</v>
      </c>
      <c r="H45" s="109"/>
    </row>
    <row r="46" spans="3:12" x14ac:dyDescent="0.25">
      <c r="C46" s="109"/>
      <c r="D46" s="8" t="str">
        <f>+'Ingreso Datos'!A33</f>
        <v>Crédito CCAF</v>
      </c>
      <c r="E46" s="8"/>
      <c r="F46" s="8"/>
      <c r="G46" s="110">
        <f>+'Ingreso Datos'!B33</f>
        <v>0</v>
      </c>
      <c r="H46" s="109"/>
    </row>
    <row r="47" spans="3:12" s="69" customFormat="1" x14ac:dyDescent="0.25">
      <c r="C47" s="109"/>
      <c r="D47" s="3" t="s">
        <v>75</v>
      </c>
      <c r="E47" s="26"/>
      <c r="F47" s="26"/>
      <c r="G47" s="111">
        <f>ROUND(SUM(G43:G46),0)</f>
        <v>100000</v>
      </c>
      <c r="H47" s="109"/>
    </row>
    <row r="48" spans="3:12" x14ac:dyDescent="0.25">
      <c r="C48" s="109"/>
      <c r="G48" s="73"/>
      <c r="H48" s="109"/>
    </row>
    <row r="49" spans="3:10" x14ac:dyDescent="0.25">
      <c r="C49" s="109"/>
      <c r="D49" s="3" t="s">
        <v>188</v>
      </c>
      <c r="E49" s="26"/>
      <c r="F49" s="26"/>
      <c r="G49" s="111">
        <f>+'base de datos'!G39</f>
        <v>23588</v>
      </c>
      <c r="H49" s="109"/>
    </row>
    <row r="50" spans="3:10" x14ac:dyDescent="0.25">
      <c r="C50" s="109"/>
      <c r="D50" s="104"/>
      <c r="E50" s="69"/>
      <c r="F50" s="69"/>
      <c r="G50" s="103"/>
      <c r="H50" s="109"/>
    </row>
    <row r="51" spans="3:10" x14ac:dyDescent="0.25">
      <c r="C51" s="109"/>
      <c r="D51" s="29" t="s">
        <v>186</v>
      </c>
      <c r="E51" s="26"/>
      <c r="F51" s="26"/>
      <c r="G51" s="111">
        <f>+G26-G49</f>
        <v>101412</v>
      </c>
      <c r="H51" s="109"/>
    </row>
    <row r="52" spans="3:10" x14ac:dyDescent="0.25">
      <c r="C52" s="107"/>
      <c r="D52" s="8"/>
      <c r="H52" s="107"/>
    </row>
    <row r="53" spans="3:10" x14ac:dyDescent="0.25">
      <c r="C53" s="107"/>
      <c r="D53" s="3" t="s">
        <v>92</v>
      </c>
      <c r="E53" s="26"/>
      <c r="F53" s="26"/>
      <c r="G53" s="111"/>
      <c r="H53" s="107"/>
    </row>
    <row r="54" spans="3:10" x14ac:dyDescent="0.25">
      <c r="C54" s="109"/>
      <c r="D54" s="114" t="s">
        <v>190</v>
      </c>
      <c r="E54" s="115">
        <f>+'base de datos'!E43</f>
        <v>1.9900000000000001E-2</v>
      </c>
      <c r="F54" s="115"/>
      <c r="G54" s="116">
        <f>+'base de datos'!G43</f>
        <v>2488</v>
      </c>
      <c r="H54" s="109"/>
    </row>
    <row r="55" spans="3:10" x14ac:dyDescent="0.25">
      <c r="C55" s="109"/>
      <c r="D55" s="114" t="s">
        <v>191</v>
      </c>
      <c r="E55" s="115">
        <f>+'base de datos'!E44</f>
        <v>9.2999999999999992E-3</v>
      </c>
      <c r="F55" s="115"/>
      <c r="G55" s="116">
        <f>+'base de datos'!G44</f>
        <v>1163</v>
      </c>
      <c r="H55" s="109"/>
      <c r="J55" s="105"/>
    </row>
    <row r="56" spans="3:10" x14ac:dyDescent="0.25">
      <c r="C56" s="109"/>
      <c r="D56" s="114" t="s">
        <v>217</v>
      </c>
      <c r="E56" s="115">
        <f>+'base de datos'!E45</f>
        <v>2.4E-2</v>
      </c>
      <c r="F56" s="115"/>
      <c r="G56" s="116">
        <f>+'base de datos'!G45</f>
        <v>3000</v>
      </c>
      <c r="H56" s="109"/>
    </row>
    <row r="57" spans="3:10" x14ac:dyDescent="0.25">
      <c r="C57" s="109"/>
      <c r="D57" s="3" t="s">
        <v>92</v>
      </c>
      <c r="E57" s="26"/>
      <c r="F57" s="26"/>
      <c r="G57" s="111">
        <f>ROUND(SUM(G54:G56),0)</f>
        <v>6651</v>
      </c>
      <c r="H57" s="109"/>
    </row>
    <row r="58" spans="3:10" x14ac:dyDescent="0.25">
      <c r="C58" s="109"/>
      <c r="D58" s="3" t="s">
        <v>198</v>
      </c>
      <c r="E58" s="26"/>
      <c r="F58" s="26"/>
      <c r="G58" s="111">
        <f>+'base de datos'!G48</f>
        <v>131651</v>
      </c>
      <c r="H58" s="109"/>
    </row>
    <row r="59" spans="3:10" x14ac:dyDescent="0.25">
      <c r="C59" s="69"/>
      <c r="D59" s="69"/>
      <c r="E59" s="69"/>
      <c r="F59" s="69"/>
      <c r="G59" s="69"/>
      <c r="H59" s="69"/>
    </row>
    <row r="60" spans="3:10" x14ac:dyDescent="0.25">
      <c r="C60" s="69"/>
      <c r="D60" s="69"/>
      <c r="E60" s="69"/>
      <c r="F60" s="69"/>
      <c r="G60" s="69"/>
      <c r="H60" s="69"/>
    </row>
    <row r="61" spans="3:10" x14ac:dyDescent="0.25">
      <c r="C61" s="69"/>
      <c r="D61" s="69"/>
      <c r="E61" s="69"/>
      <c r="F61" s="69"/>
      <c r="G61" s="69"/>
      <c r="H61" s="69"/>
    </row>
    <row r="62" spans="3:10" x14ac:dyDescent="0.25">
      <c r="C62" s="69"/>
      <c r="D62" s="69"/>
      <c r="E62" s="69"/>
      <c r="F62" s="69"/>
      <c r="G62" s="69"/>
      <c r="H62" s="69"/>
    </row>
    <row r="63" spans="3:10" x14ac:dyDescent="0.25">
      <c r="C63" s="69"/>
      <c r="D63" s="69"/>
      <c r="E63" s="69"/>
      <c r="F63" s="69"/>
      <c r="G63" s="69"/>
      <c r="H63" s="69"/>
    </row>
    <row r="64" spans="3:10" x14ac:dyDescent="0.25">
      <c r="C64" s="69"/>
      <c r="D64" s="69"/>
      <c r="E64" s="69"/>
      <c r="F64" s="69"/>
      <c r="G64" s="69"/>
      <c r="H64" s="69"/>
    </row>
    <row r="65" spans="3:8" x14ac:dyDescent="0.25">
      <c r="C65" s="69"/>
      <c r="D65" s="69"/>
      <c r="E65" s="69"/>
      <c r="F65" s="69"/>
      <c r="G65" s="69"/>
      <c r="H65" s="69"/>
    </row>
    <row r="66" spans="3:8" x14ac:dyDescent="0.25">
      <c r="C66" s="69"/>
      <c r="D66" s="69"/>
      <c r="E66" s="69"/>
      <c r="F66" s="69"/>
      <c r="G66" s="69"/>
      <c r="H66" s="69"/>
    </row>
    <row r="67" spans="3:8" x14ac:dyDescent="0.25">
      <c r="C67" s="69"/>
      <c r="D67" s="69"/>
      <c r="E67" s="69"/>
      <c r="F67" s="69"/>
      <c r="G67" s="69"/>
      <c r="H67" s="69"/>
    </row>
    <row r="68" spans="3:8" x14ac:dyDescent="0.25">
      <c r="C68" s="69"/>
      <c r="D68" s="69"/>
      <c r="E68" s="69"/>
      <c r="F68" s="69"/>
      <c r="G68" s="69"/>
      <c r="H68" s="69"/>
    </row>
    <row r="69" spans="3:8" x14ac:dyDescent="0.25">
      <c r="C69" s="69"/>
      <c r="D69" s="69"/>
      <c r="E69" s="69"/>
      <c r="F69" s="69"/>
      <c r="G69" s="69"/>
      <c r="H69" s="69"/>
    </row>
    <row r="70" spans="3:8" x14ac:dyDescent="0.25">
      <c r="C70" s="69"/>
      <c r="D70" s="69"/>
      <c r="E70" s="69"/>
      <c r="F70" s="69"/>
      <c r="G70" s="69"/>
      <c r="H70" s="69"/>
    </row>
    <row r="71" spans="3:8" x14ac:dyDescent="0.25">
      <c r="C71" s="69"/>
      <c r="D71" s="69"/>
      <c r="E71" s="69"/>
      <c r="F71" s="69"/>
      <c r="G71" s="69"/>
      <c r="H71" s="69"/>
    </row>
    <row r="72" spans="3:8" x14ac:dyDescent="0.25">
      <c r="C72" s="69"/>
      <c r="D72" s="69"/>
      <c r="E72" s="69"/>
      <c r="F72" s="69"/>
      <c r="G72" s="69"/>
      <c r="H72" s="69"/>
    </row>
    <row r="73" spans="3:8" x14ac:dyDescent="0.25">
      <c r="C73" s="69"/>
      <c r="D73" s="69"/>
      <c r="E73" s="69"/>
      <c r="F73" s="69"/>
      <c r="G73" s="69"/>
      <c r="H73" s="69"/>
    </row>
    <row r="74" spans="3:8" x14ac:dyDescent="0.25">
      <c r="C74" s="69"/>
      <c r="D74" s="69"/>
      <c r="E74" s="69"/>
      <c r="F74" s="69"/>
      <c r="G74" s="69"/>
      <c r="H74" s="69"/>
    </row>
    <row r="75" spans="3:8" x14ac:dyDescent="0.25">
      <c r="C75" s="69"/>
      <c r="D75" s="69"/>
      <c r="E75" s="69"/>
      <c r="F75" s="69"/>
      <c r="G75" s="69"/>
      <c r="H75" s="69"/>
    </row>
    <row r="76" spans="3:8" x14ac:dyDescent="0.25">
      <c r="C76" s="69"/>
      <c r="D76" s="69"/>
      <c r="E76" s="69"/>
      <c r="F76" s="69"/>
      <c r="G76" s="69"/>
      <c r="H76" s="69"/>
    </row>
    <row r="77" spans="3:8" x14ac:dyDescent="0.25">
      <c r="C77" s="69"/>
      <c r="D77" s="69"/>
      <c r="E77" s="69"/>
      <c r="F77" s="69"/>
      <c r="G77" s="69"/>
      <c r="H77" s="69"/>
    </row>
    <row r="78" spans="3:8" x14ac:dyDescent="0.25">
      <c r="C78" s="69"/>
      <c r="D78" s="69"/>
      <c r="E78" s="69"/>
      <c r="F78" s="69"/>
      <c r="G78" s="69"/>
      <c r="H78" s="69"/>
    </row>
    <row r="79" spans="3:8" x14ac:dyDescent="0.25">
      <c r="C79" s="69"/>
      <c r="D79" s="69"/>
      <c r="E79" s="69"/>
      <c r="F79" s="69"/>
      <c r="G79" s="69"/>
      <c r="H79" s="69"/>
    </row>
    <row r="80" spans="3:8" x14ac:dyDescent="0.25">
      <c r="C80" s="69"/>
      <c r="D80" s="69"/>
      <c r="E80" s="69"/>
      <c r="F80" s="69"/>
      <c r="G80" s="69"/>
      <c r="H80" s="69"/>
    </row>
    <row r="81" spans="3:8" x14ac:dyDescent="0.25">
      <c r="C81" s="69"/>
      <c r="D81" s="69"/>
      <c r="E81" s="69"/>
      <c r="F81" s="69"/>
      <c r="G81" s="69"/>
      <c r="H81" s="69"/>
    </row>
    <row r="82" spans="3:8" x14ac:dyDescent="0.25">
      <c r="C82" s="69"/>
      <c r="D82" s="69"/>
      <c r="E82" s="69"/>
      <c r="F82" s="69"/>
      <c r="G82" s="69"/>
      <c r="H82" s="69"/>
    </row>
    <row r="83" spans="3:8" x14ac:dyDescent="0.25">
      <c r="C83" s="69"/>
      <c r="D83" s="69"/>
      <c r="E83" s="69"/>
      <c r="F83" s="69"/>
      <c r="G83" s="69"/>
      <c r="H83" s="69"/>
    </row>
    <row r="84" spans="3:8" x14ac:dyDescent="0.25">
      <c r="C84" s="69"/>
      <c r="D84" s="69"/>
      <c r="E84" s="69"/>
      <c r="F84" s="69"/>
      <c r="G84" s="69"/>
      <c r="H84" s="69"/>
    </row>
    <row r="85" spans="3:8" x14ac:dyDescent="0.25">
      <c r="C85" s="69"/>
      <c r="D85" s="69"/>
      <c r="E85" s="69"/>
      <c r="F85" s="69"/>
      <c r="G85" s="69"/>
      <c r="H85" s="69"/>
    </row>
    <row r="86" spans="3:8" x14ac:dyDescent="0.25">
      <c r="C86" s="69"/>
      <c r="D86" s="69"/>
      <c r="E86" s="69"/>
      <c r="F86" s="69"/>
      <c r="G86" s="69"/>
      <c r="H86" s="69"/>
    </row>
    <row r="87" spans="3:8" x14ac:dyDescent="0.25">
      <c r="C87" s="69"/>
      <c r="D87" s="69"/>
      <c r="E87" s="69"/>
      <c r="F87" s="69"/>
      <c r="G87" s="69"/>
      <c r="H87" s="69"/>
    </row>
    <row r="88" spans="3:8" x14ac:dyDescent="0.25">
      <c r="C88" s="69"/>
      <c r="D88" s="69"/>
      <c r="E88" s="69"/>
      <c r="F88" s="69"/>
      <c r="G88" s="69"/>
      <c r="H88" s="69"/>
    </row>
    <row r="89" spans="3:8" x14ac:dyDescent="0.25">
      <c r="C89" s="69"/>
      <c r="D89" s="69"/>
      <c r="E89" s="69"/>
      <c r="F89" s="69"/>
      <c r="G89" s="69"/>
      <c r="H89" s="69"/>
    </row>
    <row r="90" spans="3:8" x14ac:dyDescent="0.25">
      <c r="C90" s="69"/>
      <c r="D90" s="69"/>
      <c r="E90" s="69"/>
      <c r="F90" s="69"/>
      <c r="G90" s="69"/>
      <c r="H90" s="69"/>
    </row>
    <row r="91" spans="3:8" x14ac:dyDescent="0.25">
      <c r="C91" s="69"/>
      <c r="D91" s="69"/>
      <c r="E91" s="69"/>
      <c r="F91" s="69"/>
      <c r="G91" s="69"/>
      <c r="H91" s="69"/>
    </row>
    <row r="92" spans="3:8" x14ac:dyDescent="0.25">
      <c r="C92" s="69"/>
      <c r="D92" s="69"/>
      <c r="E92" s="69"/>
      <c r="F92" s="69"/>
      <c r="G92" s="69"/>
      <c r="H92" s="69"/>
    </row>
    <row r="93" spans="3:8" x14ac:dyDescent="0.25">
      <c r="C93" s="69"/>
      <c r="D93" s="69"/>
      <c r="E93" s="69"/>
      <c r="F93" s="69"/>
      <c r="G93" s="69"/>
      <c r="H93" s="69"/>
    </row>
    <row r="94" spans="3:8" x14ac:dyDescent="0.25">
      <c r="C94" s="69"/>
      <c r="D94" s="69"/>
      <c r="E94" s="69"/>
      <c r="F94" s="69"/>
      <c r="G94" s="69"/>
      <c r="H94" s="69"/>
    </row>
    <row r="95" spans="3:8" x14ac:dyDescent="0.25">
      <c r="C95" s="69"/>
      <c r="D95" s="69"/>
      <c r="E95" s="69"/>
      <c r="F95" s="69"/>
      <c r="G95" s="69"/>
      <c r="H95" s="69"/>
    </row>
  </sheetData>
  <sheetProtection algorithmName="SHA-512" hashValue="AG4raObeVsL/i7Olh0fyv+FVqE9OqhnvaiSlPsuj7yZYNmVd0zmQEoq689bYPEBgXKEaTZQ83MjmQX4G+m/AQA==" saltValue="xIipKaxbwI9wQP+7sz52Xw==" spinCount="100000" sheet="1" formatCells="0" formatColumns="0" formatRows="0" insertColumns="0" insertRows="0" insertHyperlinks="0" deleteColumns="0" deleteRows="0" sort="0" autoFilter="0" pivotTables="0"/>
  <mergeCells count="5">
    <mergeCell ref="D5:G5"/>
    <mergeCell ref="D1:G1"/>
    <mergeCell ref="D30:G30"/>
    <mergeCell ref="D2:G2"/>
    <mergeCell ref="D3:G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8" orientation="portrait" r:id="rId1"/>
  <rowBreaks count="1" manualBreakCount="1">
    <brk id="58" max="16383" man="1"/>
  </rowBreaks>
  <colBreaks count="2" manualBreakCount="2">
    <brk id="3" max="59" man="1"/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Ingreso Datos</vt:lpstr>
      <vt:lpstr>liquidación de Sueldos</vt:lpstr>
      <vt:lpstr>'liquidación de Sueldos'!Área_de_impresión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</dc:creator>
  <cp:lastModifiedBy>Iván</cp:lastModifiedBy>
  <cp:lastPrinted>2020-12-16T19:43:18Z</cp:lastPrinted>
  <dcterms:created xsi:type="dcterms:W3CDTF">2020-11-24T00:58:11Z</dcterms:created>
  <dcterms:modified xsi:type="dcterms:W3CDTF">2020-12-16T19:45:02Z</dcterms:modified>
</cp:coreProperties>
</file>