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Iván\Desktop\Isabel Nuñez 2\Actividades\Actividad 7\"/>
    </mc:Choice>
  </mc:AlternateContent>
  <xr:revisionPtr revIDLastSave="0" documentId="13_ncr:1_{BB20151A-FCB4-41C0-8520-3BA188F586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t. N° 7" sheetId="1" r:id="rId1"/>
    <sheet name="Juan Perez" sheetId="2" r:id="rId2"/>
    <sheet name="Ximena Soza" sheetId="3" r:id="rId3"/>
    <sheet name="Paulina Soto" sheetId="4" r:id="rId4"/>
    <sheet name="Juan Tenorio" sheetId="5" r:id="rId5"/>
    <sheet name="Indicadores Previsionales" sheetId="6" r:id="rId6"/>
  </sheets>
  <definedNames>
    <definedName name="_xlnm.Print_Area" localSheetId="5">'Indicadores Previsionales'!$A$1:$M$19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5" l="1"/>
  <c r="L18" i="5"/>
  <c r="L16" i="5"/>
  <c r="L8" i="5"/>
  <c r="G19" i="5" s="1"/>
  <c r="G16" i="5"/>
  <c r="L12" i="5"/>
  <c r="L14" i="5"/>
  <c r="L5" i="5"/>
  <c r="K5" i="5"/>
  <c r="J4" i="5"/>
  <c r="G11" i="5"/>
  <c r="G10" i="5"/>
  <c r="G5" i="5"/>
  <c r="F4" i="5"/>
  <c r="L13" i="5"/>
  <c r="L10" i="4"/>
  <c r="L13" i="4"/>
  <c r="G10" i="4"/>
  <c r="G12" i="4"/>
  <c r="G11" i="4"/>
  <c r="G13" i="4"/>
  <c r="J4" i="4"/>
  <c r="G9" i="4"/>
  <c r="G8" i="4"/>
  <c r="G7" i="4"/>
  <c r="G5" i="4"/>
  <c r="F4" i="4"/>
  <c r="L12" i="4"/>
  <c r="L20" i="3"/>
  <c r="L18" i="3"/>
  <c r="L16" i="3"/>
  <c r="G18" i="3"/>
  <c r="G17" i="3"/>
  <c r="G16" i="3"/>
  <c r="L10" i="3"/>
  <c r="G8" i="3"/>
  <c r="L6" i="3" s="1"/>
  <c r="G7" i="3"/>
  <c r="G5" i="3"/>
  <c r="P13" i="3"/>
  <c r="L14" i="3"/>
  <c r="L13" i="3"/>
  <c r="L12" i="3"/>
  <c r="G11" i="3"/>
  <c r="J4" i="3"/>
  <c r="F4" i="3"/>
  <c r="G10" i="3" s="1"/>
  <c r="L16" i="2"/>
  <c r="L14" i="2"/>
  <c r="L15" i="2"/>
  <c r="L10" i="2"/>
  <c r="L8" i="2"/>
  <c r="G18" i="2" s="1"/>
  <c r="L6" i="2"/>
  <c r="L13" i="2"/>
  <c r="L5" i="2"/>
  <c r="L7" i="2"/>
  <c r="G13" i="2"/>
  <c r="G16" i="2" s="1"/>
  <c r="L20" i="2" s="1"/>
  <c r="G7" i="2"/>
  <c r="G11" i="2"/>
  <c r="G10" i="2"/>
  <c r="M26" i="6"/>
  <c r="M25" i="6"/>
  <c r="G5" i="2"/>
  <c r="F4" i="2"/>
  <c r="G13" i="5" l="1"/>
  <c r="G8" i="5"/>
  <c r="L16" i="4"/>
  <c r="G14" i="4"/>
  <c r="L4" i="3"/>
  <c r="L5" i="3"/>
  <c r="G13" i="3"/>
  <c r="L18" i="2"/>
  <c r="J4" i="2"/>
  <c r="G17" i="5" l="1"/>
  <c r="G18" i="4"/>
  <c r="G17" i="4"/>
  <c r="L8" i="3"/>
  <c r="L4" i="2"/>
  <c r="L6" i="5" l="1"/>
  <c r="L4" i="5"/>
  <c r="L4" i="4"/>
  <c r="L5" i="4"/>
  <c r="L6" i="4"/>
  <c r="L10" i="5" l="1"/>
  <c r="L8" i="4"/>
  <c r="G19" i="4"/>
  <c r="L18" i="4" s="1"/>
  <c r="L20" i="4" s="1"/>
</calcChain>
</file>

<file path=xl/sharedStrings.xml><?xml version="1.0" encoding="utf-8"?>
<sst xmlns="http://schemas.openxmlformats.org/spreadsheetml/2006/main" count="346" uniqueCount="100">
  <si>
    <t>Nombre:</t>
  </si>
  <si>
    <t>Juan Perez Cotapo</t>
  </si>
  <si>
    <t>Rut</t>
  </si>
  <si>
    <t>1-9</t>
  </si>
  <si>
    <t>Fecha de ingreso</t>
  </si>
  <si>
    <t>tipo de contrato</t>
  </si>
  <si>
    <t>Indefinido</t>
  </si>
  <si>
    <t>Jornada</t>
  </si>
  <si>
    <t>Excento</t>
  </si>
  <si>
    <t>lun-vier.</t>
  </si>
  <si>
    <t>Remuneracion base</t>
  </si>
  <si>
    <t>Gratificación art. 50</t>
  </si>
  <si>
    <t>si</t>
  </si>
  <si>
    <t>Locomoción</t>
  </si>
  <si>
    <t>colación</t>
  </si>
  <si>
    <t>asig. Familiar</t>
  </si>
  <si>
    <t>Desc. Variables</t>
  </si>
  <si>
    <t>Desc. Farmacia</t>
  </si>
  <si>
    <t>AFP</t>
  </si>
  <si>
    <t>Salud Isapre consalud</t>
  </si>
  <si>
    <t>APV</t>
  </si>
  <si>
    <t>Ximena Soza Perez</t>
  </si>
  <si>
    <t>Plazo Fijo</t>
  </si>
  <si>
    <t>45 horas semanales</t>
  </si>
  <si>
    <t>Habitat</t>
  </si>
  <si>
    <t>Fonasa</t>
  </si>
  <si>
    <t>Desc. Caja</t>
  </si>
  <si>
    <t>anticipo sueldo</t>
  </si>
  <si>
    <t>Dias trabajados</t>
  </si>
  <si>
    <t>Taller de Remuneraciones III</t>
  </si>
  <si>
    <t>Salud Fonasa</t>
  </si>
  <si>
    <t>Bono producción</t>
  </si>
  <si>
    <t>Producción</t>
  </si>
  <si>
    <t>Anticipo</t>
  </si>
  <si>
    <t>excento</t>
  </si>
  <si>
    <t>Horas Extras</t>
  </si>
  <si>
    <t>Salud Isapre vida tres</t>
  </si>
  <si>
    <t>HABERES</t>
  </si>
  <si>
    <t>DESCUENTOS</t>
  </si>
  <si>
    <t>DIAS TRABAJADOS</t>
  </si>
  <si>
    <t>SUELDO BASE</t>
  </si>
  <si>
    <t>GRATIFICACION</t>
  </si>
  <si>
    <t>MOVILIZACION</t>
  </si>
  <si>
    <t>COLACION</t>
  </si>
  <si>
    <t>TOTAL HABERES</t>
  </si>
  <si>
    <t>TOTAL TRIBUTABLE</t>
  </si>
  <si>
    <t>SALUD</t>
  </si>
  <si>
    <t>AFC</t>
  </si>
  <si>
    <t>IMPUESTO UNICO</t>
  </si>
  <si>
    <t>TOTAL DESCUENTO</t>
  </si>
  <si>
    <t>LIQUIDO</t>
  </si>
  <si>
    <t>Retencion Judicial</t>
  </si>
  <si>
    <t>Horas extras</t>
  </si>
  <si>
    <t xml:space="preserve">Horas extras </t>
  </si>
  <si>
    <t>Desc. Caja compensación</t>
  </si>
  <si>
    <t>1/12</t>
  </si>
  <si>
    <t>5/12</t>
  </si>
  <si>
    <t>Retención judicial</t>
  </si>
  <si>
    <t>30% monto imponible</t>
  </si>
  <si>
    <t>$ 255 por pieza</t>
  </si>
  <si>
    <t>285  piezas</t>
  </si>
  <si>
    <t>Liquidación de Remuneraciones I</t>
  </si>
  <si>
    <t>Liquidación de Remuneraciones II</t>
  </si>
  <si>
    <t>Liquidación de Remuneraciones III</t>
  </si>
  <si>
    <t>Liquidación de Remuneraciones IV</t>
  </si>
  <si>
    <t>D</t>
  </si>
  <si>
    <t>jornada ordinaria</t>
  </si>
  <si>
    <t>Liquidación mes de Octubre 2020</t>
  </si>
  <si>
    <t>Cuprum</t>
  </si>
  <si>
    <t>3 UF</t>
  </si>
  <si>
    <t>Paulina Soto Baez</t>
  </si>
  <si>
    <t>Juan Tenorio Carrasco</t>
  </si>
  <si>
    <t>tramo C</t>
  </si>
  <si>
    <t>Planvital</t>
  </si>
  <si>
    <t>Provida</t>
  </si>
  <si>
    <t>6 UF</t>
  </si>
  <si>
    <t xml:space="preserve">Anticipo </t>
  </si>
  <si>
    <t>Gratificación Art. 50</t>
  </si>
  <si>
    <t>Sueldo minimo</t>
  </si>
  <si>
    <t>IMM x 4.75 anual</t>
  </si>
  <si>
    <t>Tope mensual</t>
  </si>
  <si>
    <t>Tope anual art. 50</t>
  </si>
  <si>
    <t>Total Imponible</t>
  </si>
  <si>
    <t>Total no Imponible</t>
  </si>
  <si>
    <t>Total imponible topes</t>
  </si>
  <si>
    <t>UF</t>
  </si>
  <si>
    <t>Consalud</t>
  </si>
  <si>
    <t>ADICIONAL ISAPRE</t>
  </si>
  <si>
    <t>Total Desc. Varios</t>
  </si>
  <si>
    <t>Total Desc. Previsionales</t>
  </si>
  <si>
    <t>RETENCION JUDICIAL</t>
  </si>
  <si>
    <t>DESC. CAJA COMPENSACIÓN</t>
  </si>
  <si>
    <t>ANTICIPO</t>
  </si>
  <si>
    <t>CARGA FAMILIAR</t>
  </si>
  <si>
    <t xml:space="preserve">Total imponible </t>
  </si>
  <si>
    <t>DESC. FARMACIA</t>
  </si>
  <si>
    <t>HORAS EXTRAS</t>
  </si>
  <si>
    <t>BONO PRODUCCION</t>
  </si>
  <si>
    <t>SEMANA CORRIDA</t>
  </si>
  <si>
    <t>Vida 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</si>
</sst>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;[Red]\-&quot;$&quot;\ #,##0"/>
    <numFmt numFmtId="165" formatCode="_-&quot;$&quot;\ * #,##0.00_-;\-&quot;$&quot;\ * #,##0.00_-;_-&quot;$&quot;\ * &quot;-&quot;??_-;_-@_-"/>
    <numFmt numFmtId="166" formatCode="_-[$$-340A]\ * #,##0_-;\-[$$-340A]\ * #,##0_-;_-[$$-340A]\ * &quot;-&quot;??_-;_-@_-"/>
    <numFmt numFmtId="167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6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3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3" borderId="9" xfId="0" applyFill="1" applyBorder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2" xfId="0" applyFill="1" applyBorder="1"/>
    <xf numFmtId="49" fontId="0" fillId="3" borderId="13" xfId="0" applyNumberFormat="1" applyFill="1" applyBorder="1" applyAlignment="1">
      <alignment horizontal="right"/>
    </xf>
    <xf numFmtId="0" fontId="0" fillId="3" borderId="14" xfId="0" applyFill="1" applyBorder="1"/>
    <xf numFmtId="0" fontId="0" fillId="3" borderId="15" xfId="0" applyFill="1" applyBorder="1"/>
    <xf numFmtId="49" fontId="0" fillId="3" borderId="16" xfId="0" applyNumberFormat="1" applyFill="1" applyBorder="1" applyAlignment="1">
      <alignment horizontal="right"/>
    </xf>
    <xf numFmtId="0" fontId="0" fillId="3" borderId="17" xfId="0" applyFill="1" applyBorder="1"/>
    <xf numFmtId="14" fontId="0" fillId="3" borderId="16" xfId="0" applyNumberFormat="1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0" fontId="0" fillId="3" borderId="17" xfId="0" applyFill="1" applyBorder="1" applyAlignment="1">
      <alignment horizontal="center"/>
    </xf>
    <xf numFmtId="164" fontId="0" fillId="3" borderId="16" xfId="0" applyNumberFormat="1" applyFill="1" applyBorder="1" applyAlignment="1">
      <alignment horizontal="right"/>
    </xf>
    <xf numFmtId="2" fontId="0" fillId="3" borderId="16" xfId="0" applyNumberFormat="1" applyFill="1" applyBorder="1" applyAlignment="1">
      <alignment horizontal="right"/>
    </xf>
    <xf numFmtId="9" fontId="0" fillId="3" borderId="16" xfId="0" applyNumberFormat="1" applyFill="1" applyBorder="1" applyAlignment="1">
      <alignment horizontal="right"/>
    </xf>
    <xf numFmtId="0" fontId="4" fillId="3" borderId="15" xfId="0" applyFont="1" applyFill="1" applyBorder="1"/>
    <xf numFmtId="0" fontId="0" fillId="3" borderId="16" xfId="0" applyFill="1" applyBorder="1"/>
    <xf numFmtId="166" fontId="0" fillId="3" borderId="16" xfId="0" applyNumberFormat="1" applyFill="1" applyBorder="1"/>
    <xf numFmtId="49" fontId="0" fillId="3" borderId="17" xfId="0" applyNumberFormat="1" applyFill="1" applyBorder="1" applyAlignment="1">
      <alignment horizontal="center"/>
    </xf>
    <xf numFmtId="164" fontId="0" fillId="3" borderId="16" xfId="0" applyNumberFormat="1" applyFill="1" applyBorder="1"/>
    <xf numFmtId="0" fontId="0" fillId="3" borderId="6" xfId="0" applyFill="1" applyBorder="1"/>
    <xf numFmtId="14" fontId="0" fillId="3" borderId="7" xfId="0" applyNumberFormat="1" applyFill="1" applyBorder="1"/>
    <xf numFmtId="0" fontId="0" fillId="3" borderId="8" xfId="0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/>
    <xf numFmtId="0" fontId="0" fillId="3" borderId="16" xfId="0" applyFill="1" applyBorder="1" applyAlignment="1">
      <alignment horizontal="center"/>
    </xf>
    <xf numFmtId="1" fontId="0" fillId="3" borderId="16" xfId="0" applyNumberFormat="1" applyFill="1" applyBorder="1" applyAlignment="1">
      <alignment horizontal="center"/>
    </xf>
    <xf numFmtId="14" fontId="0" fillId="3" borderId="7" xfId="1" applyNumberFormat="1" applyFont="1" applyFill="1" applyBorder="1"/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3" borderId="0" xfId="0" applyFont="1" applyFill="1"/>
    <xf numFmtId="42" fontId="0" fillId="3" borderId="0" xfId="3" applyFont="1" applyFill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2" fillId="3" borderId="9" xfId="0" applyFont="1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2" fillId="3" borderId="10" xfId="0" applyFont="1" applyFill="1" applyBorder="1"/>
    <xf numFmtId="164" fontId="0" fillId="3" borderId="0" xfId="0" applyNumberFormat="1" applyFill="1"/>
    <xf numFmtId="10" fontId="0" fillId="3" borderId="0" xfId="2" applyNumberFormat="1" applyFont="1" applyFill="1"/>
    <xf numFmtId="166" fontId="0" fillId="3" borderId="0" xfId="0" applyNumberFormat="1" applyFill="1"/>
    <xf numFmtId="166" fontId="0" fillId="3" borderId="0" xfId="0" applyNumberFormat="1" applyFill="1" applyBorder="1"/>
    <xf numFmtId="0" fontId="0" fillId="3" borderId="10" xfId="0" applyFill="1" applyBorder="1"/>
    <xf numFmtId="166" fontId="2" fillId="3" borderId="10" xfId="0" applyNumberFormat="1" applyFont="1" applyFill="1" applyBorder="1"/>
    <xf numFmtId="165" fontId="0" fillId="3" borderId="0" xfId="1" applyFont="1" applyFill="1"/>
    <xf numFmtId="166" fontId="2" fillId="3" borderId="11" xfId="0" applyNumberFormat="1" applyFont="1" applyFill="1" applyBorder="1"/>
    <xf numFmtId="0" fontId="2" fillId="3" borderId="2" xfId="0" applyFont="1" applyFill="1" applyBorder="1"/>
    <xf numFmtId="166" fontId="2" fillId="3" borderId="2" xfId="0" applyNumberFormat="1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166" fontId="2" fillId="3" borderId="7" xfId="0" applyNumberFormat="1" applyFont="1" applyFill="1" applyBorder="1"/>
    <xf numFmtId="0" fontId="6" fillId="5" borderId="9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left"/>
    </xf>
    <xf numFmtId="166" fontId="2" fillId="5" borderId="18" xfId="0" applyNumberFormat="1" applyFont="1" applyFill="1" applyBorder="1"/>
    <xf numFmtId="9" fontId="0" fillId="3" borderId="0" xfId="2" applyFont="1" applyFill="1"/>
    <xf numFmtId="6" fontId="0" fillId="0" borderId="0" xfId="0" applyNumberFormat="1"/>
    <xf numFmtId="165" fontId="7" fillId="3" borderId="0" xfId="1" applyFont="1" applyFill="1"/>
    <xf numFmtId="167" fontId="0" fillId="3" borderId="0" xfId="1" applyNumberFormat="1" applyFont="1" applyFill="1"/>
  </cellXfs>
  <cellStyles count="4">
    <cellStyle name="Moneda" xfId="1" builtinId="4"/>
    <cellStyle name="Moneda [0]" xfId="3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413175</xdr:colOff>
      <xdr:row>45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B22DF5-2162-4F8B-95AC-7509198B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94850" cy="8715374"/>
        </a:xfrm>
        <a:prstGeom prst="rect">
          <a:avLst/>
        </a:prstGeom>
      </xdr:spPr>
    </xdr:pic>
    <xdr:clientData/>
  </xdr:twoCellAnchor>
  <xdr:twoCellAnchor editAs="oneCell">
    <xdr:from>
      <xdr:col>7</xdr:col>
      <xdr:colOff>415925</xdr:colOff>
      <xdr:row>0</xdr:row>
      <xdr:rowOff>136525</xdr:rowOff>
    </xdr:from>
    <xdr:to>
      <xdr:col>20</xdr:col>
      <xdr:colOff>693691</xdr:colOff>
      <xdr:row>17</xdr:row>
      <xdr:rowOff>41275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7B3DFC-259E-45C4-8749-141845468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7600" y="136525"/>
          <a:ext cx="10183766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10" zoomScaleNormal="100" workbookViewId="0">
      <selection activeCell="E26" sqref="E26:G46"/>
    </sheetView>
  </sheetViews>
  <sheetFormatPr baseColWidth="10" defaultRowHeight="15" x14ac:dyDescent="0.25"/>
  <cols>
    <col min="1" max="1" width="25.42578125" style="12" customWidth="1"/>
    <col min="2" max="2" width="22" style="12" customWidth="1"/>
    <col min="3" max="3" width="11.42578125" style="12"/>
    <col min="4" max="4" width="6.140625" style="12" customWidth="1"/>
    <col min="5" max="5" width="24.7109375" style="12" customWidth="1"/>
    <col min="6" max="6" width="20.28515625" style="12" customWidth="1"/>
    <col min="7" max="7" width="14.85546875" style="12" customWidth="1"/>
    <col min="8" max="16384" width="11.42578125" style="12"/>
  </cols>
  <sheetData>
    <row r="1" spans="1:7" ht="21.75" thickBot="1" x14ac:dyDescent="0.4">
      <c r="A1" s="11" t="s">
        <v>67</v>
      </c>
      <c r="B1" s="11"/>
      <c r="C1" s="11"/>
      <c r="D1" s="11"/>
      <c r="E1" s="11"/>
      <c r="F1" s="11"/>
      <c r="G1" s="11"/>
    </row>
    <row r="2" spans="1:7" ht="18.75" customHeight="1" x14ac:dyDescent="0.25">
      <c r="A2" s="13" t="s">
        <v>61</v>
      </c>
      <c r="B2" s="14"/>
      <c r="C2" s="15"/>
      <c r="E2" s="13" t="s">
        <v>62</v>
      </c>
      <c r="F2" s="14"/>
      <c r="G2" s="15"/>
    </row>
    <row r="3" spans="1:7" ht="15.75" thickBot="1" x14ac:dyDescent="0.3">
      <c r="A3" s="16"/>
      <c r="B3" s="17"/>
      <c r="C3" s="18"/>
      <c r="E3" s="19"/>
      <c r="F3" s="20"/>
      <c r="G3" s="21"/>
    </row>
    <row r="4" spans="1:7" ht="15.75" thickBot="1" x14ac:dyDescent="0.3">
      <c r="A4" s="22" t="s">
        <v>0</v>
      </c>
      <c r="B4" s="23" t="s">
        <v>1</v>
      </c>
      <c r="C4" s="24"/>
      <c r="E4" s="25" t="s">
        <v>0</v>
      </c>
      <c r="F4" s="26" t="s">
        <v>21</v>
      </c>
      <c r="G4" s="27"/>
    </row>
    <row r="5" spans="1:7" x14ac:dyDescent="0.25">
      <c r="A5" s="28" t="s">
        <v>2</v>
      </c>
      <c r="B5" s="29" t="s">
        <v>3</v>
      </c>
      <c r="C5" s="30"/>
      <c r="E5" s="31" t="s">
        <v>2</v>
      </c>
      <c r="F5" s="32" t="s">
        <v>3</v>
      </c>
      <c r="G5" s="33"/>
    </row>
    <row r="6" spans="1:7" x14ac:dyDescent="0.25">
      <c r="A6" s="31" t="s">
        <v>4</v>
      </c>
      <c r="B6" s="34">
        <v>42439</v>
      </c>
      <c r="C6" s="33"/>
      <c r="E6" s="31" t="s">
        <v>4</v>
      </c>
      <c r="F6" s="34">
        <v>41275</v>
      </c>
      <c r="G6" s="33"/>
    </row>
    <row r="7" spans="1:7" x14ac:dyDescent="0.25">
      <c r="A7" s="31" t="s">
        <v>5</v>
      </c>
      <c r="B7" s="35" t="s">
        <v>22</v>
      </c>
      <c r="C7" s="33"/>
      <c r="E7" s="31" t="s">
        <v>5</v>
      </c>
      <c r="F7" s="35" t="s">
        <v>6</v>
      </c>
      <c r="G7" s="33"/>
    </row>
    <row r="8" spans="1:7" x14ac:dyDescent="0.25">
      <c r="A8" s="31" t="s">
        <v>7</v>
      </c>
      <c r="B8" s="35" t="s">
        <v>8</v>
      </c>
      <c r="C8" s="36"/>
      <c r="E8" s="31" t="s">
        <v>7</v>
      </c>
      <c r="F8" s="35" t="s">
        <v>66</v>
      </c>
      <c r="G8" s="36" t="s">
        <v>9</v>
      </c>
    </row>
    <row r="9" spans="1:7" x14ac:dyDescent="0.25">
      <c r="A9" s="31" t="s">
        <v>28</v>
      </c>
      <c r="B9" s="35">
        <v>30</v>
      </c>
      <c r="C9" s="33"/>
      <c r="E9" s="31" t="s">
        <v>28</v>
      </c>
      <c r="F9" s="35">
        <v>30</v>
      </c>
      <c r="G9" s="33"/>
    </row>
    <row r="10" spans="1:7" x14ac:dyDescent="0.25">
      <c r="A10" s="31" t="s">
        <v>10</v>
      </c>
      <c r="B10" s="37">
        <v>2800000</v>
      </c>
      <c r="C10" s="33"/>
      <c r="E10" s="31" t="s">
        <v>10</v>
      </c>
      <c r="F10" s="37">
        <v>640000</v>
      </c>
      <c r="G10" s="33"/>
    </row>
    <row r="11" spans="1:7" x14ac:dyDescent="0.25">
      <c r="A11" s="31" t="s">
        <v>11</v>
      </c>
      <c r="B11" s="35" t="s">
        <v>12</v>
      </c>
      <c r="C11" s="33"/>
      <c r="E11" s="31" t="s">
        <v>11</v>
      </c>
      <c r="F11" s="35" t="s">
        <v>12</v>
      </c>
      <c r="G11" s="33"/>
    </row>
    <row r="12" spans="1:7" x14ac:dyDescent="0.25">
      <c r="A12" s="31" t="s">
        <v>13</v>
      </c>
      <c r="B12" s="37">
        <v>80000</v>
      </c>
      <c r="C12" s="33"/>
      <c r="E12" s="31" t="s">
        <v>13</v>
      </c>
      <c r="F12" s="37">
        <v>35000</v>
      </c>
      <c r="G12" s="33"/>
    </row>
    <row r="13" spans="1:7" x14ac:dyDescent="0.25">
      <c r="A13" s="31" t="s">
        <v>14</v>
      </c>
      <c r="B13" s="37">
        <v>80000</v>
      </c>
      <c r="C13" s="33"/>
      <c r="E13" s="31" t="s">
        <v>14</v>
      </c>
      <c r="F13" s="37">
        <v>35000</v>
      </c>
      <c r="G13" s="33"/>
    </row>
    <row r="14" spans="1:7" x14ac:dyDescent="0.25">
      <c r="A14" s="31" t="s">
        <v>15</v>
      </c>
      <c r="B14" s="38">
        <v>3</v>
      </c>
      <c r="C14" s="33" t="s">
        <v>65</v>
      </c>
      <c r="E14" s="31" t="s">
        <v>52</v>
      </c>
      <c r="F14" s="38">
        <v>42</v>
      </c>
      <c r="G14" s="33"/>
    </row>
    <row r="15" spans="1:7" x14ac:dyDescent="0.25">
      <c r="A15" s="31" t="s">
        <v>18</v>
      </c>
      <c r="B15" s="37" t="s">
        <v>68</v>
      </c>
      <c r="C15" s="33"/>
      <c r="E15" s="31" t="s">
        <v>18</v>
      </c>
      <c r="F15" s="37" t="s">
        <v>24</v>
      </c>
      <c r="G15" s="33"/>
    </row>
    <row r="16" spans="1:7" x14ac:dyDescent="0.25">
      <c r="A16" s="31" t="s">
        <v>19</v>
      </c>
      <c r="B16" s="37">
        <v>170000</v>
      </c>
      <c r="C16" s="33"/>
      <c r="E16" s="31" t="s">
        <v>25</v>
      </c>
      <c r="F16" s="39">
        <v>7.0000000000000007E-2</v>
      </c>
      <c r="G16" s="33"/>
    </row>
    <row r="17" spans="1:7" x14ac:dyDescent="0.25">
      <c r="A17" s="31" t="s">
        <v>20</v>
      </c>
      <c r="B17" s="35" t="s">
        <v>69</v>
      </c>
      <c r="C17" s="33"/>
      <c r="E17" s="40" t="s">
        <v>16</v>
      </c>
      <c r="F17" s="41"/>
      <c r="G17" s="33"/>
    </row>
    <row r="18" spans="1:7" x14ac:dyDescent="0.25">
      <c r="A18" s="40" t="s">
        <v>16</v>
      </c>
      <c r="B18" s="41"/>
      <c r="C18" s="33"/>
      <c r="E18" s="31" t="s">
        <v>26</v>
      </c>
      <c r="F18" s="42">
        <v>120000</v>
      </c>
      <c r="G18" s="43" t="s">
        <v>56</v>
      </c>
    </row>
    <row r="19" spans="1:7" x14ac:dyDescent="0.25">
      <c r="A19" s="31" t="s">
        <v>51</v>
      </c>
      <c r="B19" s="44">
        <v>200000</v>
      </c>
      <c r="C19" s="33"/>
      <c r="E19" s="31" t="s">
        <v>17</v>
      </c>
      <c r="F19" s="42">
        <v>80000</v>
      </c>
      <c r="G19" s="33"/>
    </row>
    <row r="20" spans="1:7" x14ac:dyDescent="0.25">
      <c r="A20" s="31" t="s">
        <v>54</v>
      </c>
      <c r="B20" s="44">
        <v>150000</v>
      </c>
      <c r="C20" s="43" t="s">
        <v>55</v>
      </c>
      <c r="E20" s="31" t="s">
        <v>27</v>
      </c>
      <c r="F20" s="42">
        <v>200000</v>
      </c>
      <c r="G20" s="33"/>
    </row>
    <row r="21" spans="1:7" x14ac:dyDescent="0.25">
      <c r="A21" s="31" t="s">
        <v>33</v>
      </c>
      <c r="B21" s="44">
        <v>200000</v>
      </c>
      <c r="C21" s="33"/>
      <c r="E21" s="31"/>
      <c r="F21" s="42"/>
      <c r="G21" s="33"/>
    </row>
    <row r="22" spans="1:7" ht="15.75" thickBot="1" x14ac:dyDescent="0.3">
      <c r="A22" s="45"/>
      <c r="B22" s="46"/>
      <c r="C22" s="47"/>
      <c r="E22" s="45"/>
      <c r="F22" s="46"/>
      <c r="G22" s="47"/>
    </row>
    <row r="23" spans="1:7" ht="15.75" thickBot="1" x14ac:dyDescent="0.3"/>
    <row r="24" spans="1:7" ht="18.75" customHeight="1" x14ac:dyDescent="0.25">
      <c r="A24" s="13" t="s">
        <v>63</v>
      </c>
      <c r="B24" s="14"/>
      <c r="C24" s="15"/>
      <c r="E24" s="13" t="s">
        <v>64</v>
      </c>
      <c r="F24" s="14"/>
      <c r="G24" s="15"/>
    </row>
    <row r="25" spans="1:7" ht="15.75" customHeight="1" thickBot="1" x14ac:dyDescent="0.3">
      <c r="A25" s="16"/>
      <c r="B25" s="17"/>
      <c r="C25" s="18"/>
      <c r="E25" s="16"/>
      <c r="F25" s="17"/>
      <c r="G25" s="18"/>
    </row>
    <row r="26" spans="1:7" x14ac:dyDescent="0.25">
      <c r="A26" s="25" t="s">
        <v>0</v>
      </c>
      <c r="B26" s="48" t="s">
        <v>70</v>
      </c>
      <c r="C26" s="49"/>
      <c r="E26" s="25" t="s">
        <v>0</v>
      </c>
      <c r="F26" s="48" t="s">
        <v>71</v>
      </c>
      <c r="G26" s="49"/>
    </row>
    <row r="27" spans="1:7" x14ac:dyDescent="0.25">
      <c r="A27" s="31" t="s">
        <v>2</v>
      </c>
      <c r="B27" s="32" t="s">
        <v>3</v>
      </c>
      <c r="C27" s="33"/>
      <c r="E27" s="31" t="s">
        <v>2</v>
      </c>
      <c r="F27" s="32" t="s">
        <v>3</v>
      </c>
      <c r="G27" s="33"/>
    </row>
    <row r="28" spans="1:7" x14ac:dyDescent="0.25">
      <c r="A28" s="31" t="s">
        <v>4</v>
      </c>
      <c r="B28" s="34">
        <v>40111</v>
      </c>
      <c r="C28" s="33"/>
      <c r="E28" s="31" t="s">
        <v>4</v>
      </c>
      <c r="F28" s="34">
        <v>40985</v>
      </c>
      <c r="G28" s="33"/>
    </row>
    <row r="29" spans="1:7" x14ac:dyDescent="0.25">
      <c r="A29" s="31" t="s">
        <v>5</v>
      </c>
      <c r="B29" s="35" t="s">
        <v>6</v>
      </c>
      <c r="C29" s="33"/>
      <c r="E29" s="31" t="s">
        <v>5</v>
      </c>
      <c r="F29" s="35" t="s">
        <v>6</v>
      </c>
      <c r="G29" s="33"/>
    </row>
    <row r="30" spans="1:7" x14ac:dyDescent="0.25">
      <c r="A30" s="31" t="s">
        <v>7</v>
      </c>
      <c r="B30" s="50" t="s">
        <v>23</v>
      </c>
      <c r="C30" s="36" t="s">
        <v>9</v>
      </c>
      <c r="E30" s="31" t="s">
        <v>7</v>
      </c>
      <c r="F30" s="35" t="s">
        <v>34</v>
      </c>
      <c r="G30" s="36"/>
    </row>
    <row r="31" spans="1:7" x14ac:dyDescent="0.25">
      <c r="A31" s="31" t="s">
        <v>28</v>
      </c>
      <c r="B31" s="35">
        <v>30</v>
      </c>
      <c r="C31" s="33"/>
      <c r="E31" s="31" t="s">
        <v>28</v>
      </c>
      <c r="F31" s="35">
        <v>30</v>
      </c>
      <c r="G31" s="33"/>
    </row>
    <row r="32" spans="1:7" x14ac:dyDescent="0.25">
      <c r="A32" s="31" t="s">
        <v>10</v>
      </c>
      <c r="B32" s="37">
        <v>590000</v>
      </c>
      <c r="C32" s="33"/>
      <c r="E32" s="31" t="s">
        <v>10</v>
      </c>
      <c r="F32" s="37">
        <v>1600000</v>
      </c>
      <c r="G32" s="33"/>
    </row>
    <row r="33" spans="1:7" x14ac:dyDescent="0.25">
      <c r="A33" s="31" t="s">
        <v>11</v>
      </c>
      <c r="B33" s="35" t="s">
        <v>12</v>
      </c>
      <c r="C33" s="33"/>
      <c r="E33" s="31" t="s">
        <v>11</v>
      </c>
      <c r="F33" s="35" t="s">
        <v>12</v>
      </c>
      <c r="G33" s="33"/>
    </row>
    <row r="34" spans="1:7" x14ac:dyDescent="0.25">
      <c r="A34" s="31" t="s">
        <v>31</v>
      </c>
      <c r="B34" s="35" t="s">
        <v>59</v>
      </c>
      <c r="C34" s="33"/>
      <c r="E34" s="31" t="s">
        <v>31</v>
      </c>
      <c r="F34" s="35">
        <v>0</v>
      </c>
      <c r="G34" s="33"/>
    </row>
    <row r="35" spans="1:7" x14ac:dyDescent="0.25">
      <c r="A35" s="31" t="s">
        <v>32</v>
      </c>
      <c r="B35" s="35" t="s">
        <v>60</v>
      </c>
      <c r="C35" s="33"/>
      <c r="E35" s="31" t="s">
        <v>32</v>
      </c>
      <c r="F35" s="35">
        <v>0</v>
      </c>
      <c r="G35" s="33"/>
    </row>
    <row r="36" spans="1:7" x14ac:dyDescent="0.25">
      <c r="A36" s="31" t="s">
        <v>53</v>
      </c>
      <c r="B36" s="35">
        <v>15</v>
      </c>
      <c r="C36" s="33"/>
      <c r="E36" s="31" t="s">
        <v>35</v>
      </c>
      <c r="F36" s="35">
        <v>0</v>
      </c>
      <c r="G36" s="33"/>
    </row>
    <row r="37" spans="1:7" x14ac:dyDescent="0.25">
      <c r="A37" s="31" t="s">
        <v>13</v>
      </c>
      <c r="B37" s="37">
        <v>20000</v>
      </c>
      <c r="C37" s="33"/>
      <c r="E37" s="31" t="s">
        <v>13</v>
      </c>
      <c r="F37" s="37">
        <v>45000</v>
      </c>
      <c r="G37" s="33"/>
    </row>
    <row r="38" spans="1:7" x14ac:dyDescent="0.25">
      <c r="A38" s="31" t="s">
        <v>14</v>
      </c>
      <c r="B38" s="37">
        <v>20000</v>
      </c>
      <c r="C38" s="33"/>
      <c r="E38" s="31" t="s">
        <v>14</v>
      </c>
      <c r="F38" s="37">
        <v>35000</v>
      </c>
      <c r="G38" s="33"/>
    </row>
    <row r="39" spans="1:7" x14ac:dyDescent="0.25">
      <c r="A39" s="31" t="s">
        <v>15</v>
      </c>
      <c r="B39" s="51">
        <v>3</v>
      </c>
      <c r="C39" s="36" t="s">
        <v>72</v>
      </c>
      <c r="E39" s="31" t="s">
        <v>15</v>
      </c>
      <c r="F39" s="37">
        <v>0</v>
      </c>
      <c r="G39" s="33"/>
    </row>
    <row r="40" spans="1:7" x14ac:dyDescent="0.25">
      <c r="A40" s="31" t="s">
        <v>18</v>
      </c>
      <c r="B40" s="37" t="s">
        <v>73</v>
      </c>
      <c r="C40" s="33"/>
      <c r="E40" s="31" t="s">
        <v>18</v>
      </c>
      <c r="F40" s="37" t="s">
        <v>74</v>
      </c>
      <c r="G40" s="33"/>
    </row>
    <row r="41" spans="1:7" x14ac:dyDescent="0.25">
      <c r="A41" s="31" t="s">
        <v>30</v>
      </c>
      <c r="B41" s="39">
        <v>7.0000000000000007E-2</v>
      </c>
      <c r="C41" s="33"/>
      <c r="E41" s="31" t="s">
        <v>36</v>
      </c>
      <c r="F41" s="39" t="s">
        <v>75</v>
      </c>
      <c r="G41" s="33"/>
    </row>
    <row r="42" spans="1:7" x14ac:dyDescent="0.25">
      <c r="A42" s="31" t="s">
        <v>20</v>
      </c>
      <c r="B42" s="35">
        <v>0</v>
      </c>
      <c r="C42" s="33"/>
      <c r="E42" s="31" t="s">
        <v>20</v>
      </c>
      <c r="F42" s="35">
        <v>0</v>
      </c>
      <c r="G42" s="33"/>
    </row>
    <row r="43" spans="1:7" x14ac:dyDescent="0.25">
      <c r="A43" s="40" t="s">
        <v>16</v>
      </c>
      <c r="B43" s="41"/>
      <c r="C43" s="33"/>
      <c r="E43" s="40" t="s">
        <v>16</v>
      </c>
      <c r="F43" s="41"/>
      <c r="G43" s="33"/>
    </row>
    <row r="44" spans="1:7" x14ac:dyDescent="0.25">
      <c r="A44" s="31" t="s">
        <v>17</v>
      </c>
      <c r="B44" s="41">
        <v>35000</v>
      </c>
      <c r="C44" s="33"/>
      <c r="E44" s="31" t="s">
        <v>57</v>
      </c>
      <c r="F44" s="41" t="s">
        <v>58</v>
      </c>
      <c r="G44" s="33"/>
    </row>
    <row r="45" spans="1:7" x14ac:dyDescent="0.25">
      <c r="A45" s="31" t="s">
        <v>33</v>
      </c>
      <c r="B45" s="44">
        <v>60000</v>
      </c>
      <c r="C45" s="33"/>
      <c r="E45" s="31" t="s">
        <v>76</v>
      </c>
      <c r="F45" s="44">
        <v>20000</v>
      </c>
      <c r="G45" s="33"/>
    </row>
    <row r="46" spans="1:7" ht="15.75" customHeight="1" thickBot="1" x14ac:dyDescent="0.3">
      <c r="A46" s="45"/>
      <c r="B46" s="52"/>
      <c r="C46" s="53"/>
      <c r="E46" s="54"/>
      <c r="F46" s="55"/>
      <c r="G46" s="47"/>
    </row>
    <row r="47" spans="1:7" ht="15.75" customHeight="1" x14ac:dyDescent="0.25"/>
    <row r="48" spans="1:7" x14ac:dyDescent="0.25">
      <c r="A48" s="56"/>
    </row>
    <row r="49" spans="1:1" x14ac:dyDescent="0.25">
      <c r="A49" s="56"/>
    </row>
    <row r="50" spans="1:1" x14ac:dyDescent="0.25">
      <c r="A50" s="56"/>
    </row>
    <row r="51" spans="1:1" x14ac:dyDescent="0.25">
      <c r="A51" s="56"/>
    </row>
  </sheetData>
  <mergeCells count="8">
    <mergeCell ref="A1:G1"/>
    <mergeCell ref="F4:G4"/>
    <mergeCell ref="B4:C4"/>
    <mergeCell ref="A2:C3"/>
    <mergeCell ref="E2:G3"/>
    <mergeCell ref="A24:C25"/>
    <mergeCell ref="E24:G25"/>
    <mergeCell ref="E46:F4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98" zoomScaleNormal="98" workbookViewId="0">
      <selection activeCell="E17" sqref="E17:G17"/>
    </sheetView>
  </sheetViews>
  <sheetFormatPr baseColWidth="10" defaultRowHeight="15" x14ac:dyDescent="0.25"/>
  <cols>
    <col min="1" max="1" width="22.7109375" style="12" customWidth="1"/>
    <col min="2" max="2" width="13.5703125" style="12" customWidth="1"/>
    <col min="3" max="3" width="11.42578125" style="12"/>
    <col min="4" max="4" width="6.5703125" style="12" customWidth="1"/>
    <col min="5" max="5" width="20.5703125" style="12" customWidth="1"/>
    <col min="6" max="6" width="4" style="12" customWidth="1"/>
    <col min="7" max="7" width="14.5703125" style="12" bestFit="1" customWidth="1"/>
    <col min="8" max="8" width="2.5703125" style="12" customWidth="1"/>
    <col min="9" max="9" width="12" style="12" customWidth="1"/>
    <col min="10" max="10" width="9.42578125" style="12" customWidth="1"/>
    <col min="11" max="11" width="11.7109375" style="12" customWidth="1"/>
    <col min="12" max="12" width="14.140625" style="12" customWidth="1"/>
    <col min="13" max="16384" width="11.42578125" style="12"/>
  </cols>
  <sheetData>
    <row r="1" spans="1:12" ht="15.75" thickBot="1" x14ac:dyDescent="0.3"/>
    <row r="2" spans="1:12" ht="15.75" thickBot="1" x14ac:dyDescent="0.3">
      <c r="A2" s="66"/>
      <c r="B2" s="67"/>
      <c r="C2" s="68"/>
      <c r="E2" s="58" t="s">
        <v>37</v>
      </c>
      <c r="F2" s="59"/>
      <c r="G2" s="59"/>
      <c r="H2" s="60"/>
      <c r="I2" s="59" t="s">
        <v>38</v>
      </c>
      <c r="J2" s="59"/>
      <c r="K2" s="59"/>
      <c r="L2" s="61"/>
    </row>
    <row r="3" spans="1:12" ht="15.75" thickBot="1" x14ac:dyDescent="0.3">
      <c r="A3" s="65" t="s">
        <v>0</v>
      </c>
      <c r="B3" s="23" t="s">
        <v>1</v>
      </c>
      <c r="C3" s="24"/>
      <c r="H3" s="62"/>
    </row>
    <row r="4" spans="1:12" x14ac:dyDescent="0.25">
      <c r="A4" s="28" t="s">
        <v>2</v>
      </c>
      <c r="B4" s="29" t="s">
        <v>3</v>
      </c>
      <c r="C4" s="30"/>
      <c r="E4" s="12" t="s">
        <v>39</v>
      </c>
      <c r="F4" s="12">
        <f>+B8</f>
        <v>30</v>
      </c>
      <c r="H4" s="63"/>
      <c r="I4" s="12" t="s">
        <v>18</v>
      </c>
      <c r="J4" s="70" t="str">
        <f>+B14</f>
        <v>Cuprum</v>
      </c>
      <c r="K4" s="71">
        <v>0.1144</v>
      </c>
      <c r="L4" s="72">
        <f>+G17*K4</f>
        <v>264590.95520000003</v>
      </c>
    </row>
    <row r="5" spans="1:12" x14ac:dyDescent="0.25">
      <c r="A5" s="31" t="s">
        <v>4</v>
      </c>
      <c r="B5" s="34">
        <v>42439</v>
      </c>
      <c r="C5" s="33"/>
      <c r="E5" s="12" t="s">
        <v>40</v>
      </c>
      <c r="G5" s="72">
        <f>+B9/30*F4</f>
        <v>2800000</v>
      </c>
      <c r="H5" s="63"/>
      <c r="I5" s="12" t="s">
        <v>46</v>
      </c>
      <c r="J5" s="12" t="s">
        <v>86</v>
      </c>
      <c r="K5" s="72">
        <v>170000</v>
      </c>
      <c r="L5" s="72">
        <f>+G17*7%</f>
        <v>161900.06000000003</v>
      </c>
    </row>
    <row r="6" spans="1:12" ht="15.75" thickBot="1" x14ac:dyDescent="0.3">
      <c r="A6" s="31" t="s">
        <v>5</v>
      </c>
      <c r="B6" s="35" t="s">
        <v>22</v>
      </c>
      <c r="C6" s="33"/>
      <c r="E6" s="12" t="s">
        <v>41</v>
      </c>
      <c r="G6" s="73">
        <v>129240</v>
      </c>
      <c r="H6" s="63"/>
      <c r="I6" s="12" t="s">
        <v>47</v>
      </c>
      <c r="K6" s="71">
        <v>6.0000000000000001E-3</v>
      </c>
      <c r="L6" s="72">
        <f>+G17*K6</f>
        <v>13877.148000000001</v>
      </c>
    </row>
    <row r="7" spans="1:12" ht="15.75" thickBot="1" x14ac:dyDescent="0.3">
      <c r="A7" s="31" t="s">
        <v>7</v>
      </c>
      <c r="B7" s="35" t="s">
        <v>8</v>
      </c>
      <c r="C7" s="36"/>
      <c r="E7" s="65" t="s">
        <v>82</v>
      </c>
      <c r="F7" s="74"/>
      <c r="G7" s="75">
        <f>SUM(G5:G6)</f>
        <v>2929240</v>
      </c>
      <c r="H7" s="63"/>
      <c r="I7" s="12" t="s">
        <v>20</v>
      </c>
      <c r="J7" s="12" t="s">
        <v>85</v>
      </c>
      <c r="K7" s="76">
        <v>28838.63</v>
      </c>
      <c r="L7" s="73">
        <f>+K7*3</f>
        <v>86515.89</v>
      </c>
    </row>
    <row r="8" spans="1:12" ht="15.75" thickBot="1" x14ac:dyDescent="0.3">
      <c r="A8" s="31" t="s">
        <v>28</v>
      </c>
      <c r="B8" s="35">
        <v>30</v>
      </c>
      <c r="C8" s="33"/>
      <c r="H8" s="63"/>
      <c r="I8" s="69" t="s">
        <v>89</v>
      </c>
      <c r="J8" s="69"/>
      <c r="K8" s="75"/>
      <c r="L8" s="77">
        <f>SUM(L4:L7)</f>
        <v>526884.05319999997</v>
      </c>
    </row>
    <row r="9" spans="1:12" ht="15.75" thickBot="1" x14ac:dyDescent="0.3">
      <c r="A9" s="31" t="s">
        <v>10</v>
      </c>
      <c r="B9" s="37">
        <v>2800000</v>
      </c>
      <c r="C9" s="33"/>
      <c r="G9" s="72"/>
      <c r="H9" s="63"/>
      <c r="K9" s="72"/>
      <c r="L9" s="72"/>
    </row>
    <row r="10" spans="1:12" ht="15.75" thickBot="1" x14ac:dyDescent="0.3">
      <c r="A10" s="31" t="s">
        <v>11</v>
      </c>
      <c r="B10" s="35" t="s">
        <v>12</v>
      </c>
      <c r="C10" s="33"/>
      <c r="E10" s="12" t="s">
        <v>42</v>
      </c>
      <c r="G10" s="72">
        <f>+B11/30*F4</f>
        <v>80000</v>
      </c>
      <c r="H10" s="63"/>
      <c r="I10" s="69" t="s">
        <v>48</v>
      </c>
      <c r="J10" s="69"/>
      <c r="K10" s="75"/>
      <c r="L10" s="77">
        <f>+(G18*0.08)-88790.46</f>
        <v>103398.01574399999</v>
      </c>
    </row>
    <row r="11" spans="1:12" x14ac:dyDescent="0.25">
      <c r="A11" s="31" t="s">
        <v>13</v>
      </c>
      <c r="B11" s="37">
        <v>80000</v>
      </c>
      <c r="C11" s="33"/>
      <c r="E11" s="12" t="s">
        <v>43</v>
      </c>
      <c r="G11" s="72">
        <f>+B12/30*F4</f>
        <v>80000</v>
      </c>
      <c r="H11" s="63"/>
      <c r="K11" s="72"/>
      <c r="L11" s="72"/>
    </row>
    <row r="12" spans="1:12" ht="15.75" thickBot="1" x14ac:dyDescent="0.3">
      <c r="A12" s="31" t="s">
        <v>14</v>
      </c>
      <c r="B12" s="37">
        <v>80000</v>
      </c>
      <c r="C12" s="33"/>
      <c r="E12" s="12" t="s">
        <v>93</v>
      </c>
      <c r="G12" s="73">
        <v>0</v>
      </c>
      <c r="H12" s="63"/>
      <c r="I12" s="12" t="s">
        <v>91</v>
      </c>
      <c r="K12" s="72"/>
      <c r="L12" s="72">
        <v>150000</v>
      </c>
    </row>
    <row r="13" spans="1:12" ht="15.75" thickBot="1" x14ac:dyDescent="0.3">
      <c r="A13" s="31" t="s">
        <v>15</v>
      </c>
      <c r="B13" s="38">
        <v>3</v>
      </c>
      <c r="C13" s="36" t="s">
        <v>65</v>
      </c>
      <c r="E13" s="65" t="s">
        <v>83</v>
      </c>
      <c r="F13" s="69"/>
      <c r="G13" s="75">
        <f>SUM(G10:G12)</f>
        <v>160000</v>
      </c>
      <c r="H13" s="63"/>
      <c r="I13" s="12" t="s">
        <v>87</v>
      </c>
      <c r="K13" s="72"/>
      <c r="L13" s="73">
        <f>+B15-L5</f>
        <v>8099.9399999999732</v>
      </c>
    </row>
    <row r="14" spans="1:12" x14ac:dyDescent="0.25">
      <c r="A14" s="31" t="s">
        <v>18</v>
      </c>
      <c r="B14" s="37" t="s">
        <v>68</v>
      </c>
      <c r="C14" s="33"/>
      <c r="H14" s="63"/>
      <c r="I14" s="12" t="s">
        <v>92</v>
      </c>
      <c r="L14" s="73">
        <f>+B20</f>
        <v>200000</v>
      </c>
    </row>
    <row r="15" spans="1:12" ht="15.75" thickBot="1" x14ac:dyDescent="0.3">
      <c r="A15" s="31" t="s">
        <v>19</v>
      </c>
      <c r="B15" s="37">
        <v>170000</v>
      </c>
      <c r="C15" s="33"/>
      <c r="H15" s="63"/>
      <c r="I15" s="12" t="s">
        <v>90</v>
      </c>
      <c r="L15" s="73">
        <f>+B18</f>
        <v>200000</v>
      </c>
    </row>
    <row r="16" spans="1:12" ht="15.75" thickBot="1" x14ac:dyDescent="0.3">
      <c r="A16" s="31" t="s">
        <v>20</v>
      </c>
      <c r="B16" s="35" t="s">
        <v>69</v>
      </c>
      <c r="C16" s="33"/>
      <c r="E16" s="25" t="s">
        <v>44</v>
      </c>
      <c r="F16" s="78"/>
      <c r="G16" s="79">
        <f>+G7+G13</f>
        <v>3089240</v>
      </c>
      <c r="H16" s="63"/>
      <c r="I16" s="69" t="s">
        <v>88</v>
      </c>
      <c r="J16" s="69"/>
      <c r="K16" s="69"/>
      <c r="L16" s="77">
        <f>SUM(L12:L15)</f>
        <v>558099.93999999994</v>
      </c>
    </row>
    <row r="17" spans="1:12" ht="15.75" thickBot="1" x14ac:dyDescent="0.3">
      <c r="A17" s="40" t="s">
        <v>16</v>
      </c>
      <c r="B17" s="41"/>
      <c r="C17" s="33"/>
      <c r="E17" s="65" t="s">
        <v>84</v>
      </c>
      <c r="F17" s="69"/>
      <c r="G17" s="75">
        <v>2312858</v>
      </c>
      <c r="H17" s="63"/>
    </row>
    <row r="18" spans="1:12" ht="15.75" thickBot="1" x14ac:dyDescent="0.3">
      <c r="A18" s="31" t="s">
        <v>51</v>
      </c>
      <c r="B18" s="44">
        <v>200000</v>
      </c>
      <c r="C18" s="33"/>
      <c r="E18" s="80" t="s">
        <v>45</v>
      </c>
      <c r="F18" s="81"/>
      <c r="G18" s="82">
        <f>+G7-L8</f>
        <v>2402355.9468</v>
      </c>
      <c r="H18" s="63"/>
      <c r="I18" s="69" t="s">
        <v>49</v>
      </c>
      <c r="J18" s="69"/>
      <c r="K18" s="75"/>
      <c r="L18" s="77">
        <f>+L8+L10+L16</f>
        <v>1188382.0089439999</v>
      </c>
    </row>
    <row r="19" spans="1:12" ht="15.75" thickBot="1" x14ac:dyDescent="0.3">
      <c r="A19" s="31" t="s">
        <v>54</v>
      </c>
      <c r="B19" s="44">
        <v>150000</v>
      </c>
      <c r="C19" s="43" t="s">
        <v>55</v>
      </c>
      <c r="G19" s="72"/>
      <c r="H19" s="64"/>
      <c r="K19" s="72"/>
      <c r="L19" s="72"/>
    </row>
    <row r="20" spans="1:12" ht="16.5" thickBot="1" x14ac:dyDescent="0.3">
      <c r="A20" s="31" t="s">
        <v>33</v>
      </c>
      <c r="B20" s="44">
        <v>200000</v>
      </c>
      <c r="C20" s="33"/>
      <c r="E20" s="83" t="s">
        <v>50</v>
      </c>
      <c r="F20" s="84"/>
      <c r="G20" s="84"/>
      <c r="H20" s="84"/>
      <c r="I20" s="84"/>
      <c r="J20" s="84"/>
      <c r="K20" s="85"/>
      <c r="L20" s="86">
        <f>+G16-L18</f>
        <v>1900857.9910560001</v>
      </c>
    </row>
  </sheetData>
  <mergeCells count="4">
    <mergeCell ref="B3:C3"/>
    <mergeCell ref="E20:K20"/>
    <mergeCell ref="E2:G2"/>
    <mergeCell ref="I2:L2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zoomScale="110" zoomScaleNormal="110" workbookViewId="0">
      <selection activeCell="E2" sqref="E2:L20"/>
    </sheetView>
  </sheetViews>
  <sheetFormatPr baseColWidth="10" defaultRowHeight="15" x14ac:dyDescent="0.25"/>
  <cols>
    <col min="1" max="1" width="20.140625" bestFit="1" customWidth="1"/>
    <col min="2" max="2" width="17.28515625" bestFit="1" customWidth="1"/>
    <col min="5" max="5" width="17.140625" customWidth="1"/>
    <col min="6" max="6" width="6.85546875" customWidth="1"/>
    <col min="7" max="7" width="14.5703125" bestFit="1" customWidth="1"/>
    <col min="8" max="8" width="2" customWidth="1"/>
    <col min="9" max="9" width="8.85546875" customWidth="1"/>
    <col min="10" max="10" width="7.42578125" customWidth="1"/>
    <col min="11" max="11" width="12.28515625" customWidth="1"/>
  </cols>
  <sheetData>
    <row r="1" spans="1:16" ht="15.75" thickBot="1" x14ac:dyDescent="0.3">
      <c r="A1" s="2"/>
      <c r="B1" s="3"/>
      <c r="C1" s="4"/>
    </row>
    <row r="2" spans="1:16" ht="15.75" thickBot="1" x14ac:dyDescent="0.3">
      <c r="A2" s="25" t="s">
        <v>0</v>
      </c>
      <c r="B2" s="26" t="s">
        <v>21</v>
      </c>
      <c r="C2" s="27"/>
      <c r="E2" s="58" t="s">
        <v>37</v>
      </c>
      <c r="F2" s="59"/>
      <c r="G2" s="59"/>
      <c r="H2" s="60"/>
      <c r="I2" s="59" t="s">
        <v>38</v>
      </c>
      <c r="J2" s="59"/>
      <c r="K2" s="59"/>
      <c r="L2" s="61"/>
    </row>
    <row r="3" spans="1:16" x14ac:dyDescent="0.25">
      <c r="A3" s="31" t="s">
        <v>2</v>
      </c>
      <c r="B3" s="32" t="s">
        <v>3</v>
      </c>
      <c r="C3" s="33"/>
      <c r="E3" s="12"/>
      <c r="F3" s="12"/>
      <c r="G3" s="12"/>
      <c r="H3" s="62"/>
      <c r="I3" s="12"/>
      <c r="J3" s="12"/>
      <c r="K3" s="12"/>
      <c r="L3" s="12"/>
    </row>
    <row r="4" spans="1:16" x14ac:dyDescent="0.25">
      <c r="A4" s="31" t="s">
        <v>4</v>
      </c>
      <c r="B4" s="34">
        <v>41275</v>
      </c>
      <c r="C4" s="33"/>
      <c r="E4" s="12" t="s">
        <v>39</v>
      </c>
      <c r="F4" s="12">
        <f>+B7</f>
        <v>30</v>
      </c>
      <c r="G4" s="12"/>
      <c r="H4" s="63"/>
      <c r="I4" s="12" t="s">
        <v>18</v>
      </c>
      <c r="J4" s="70" t="str">
        <f>+B13</f>
        <v>Habitat</v>
      </c>
      <c r="K4" s="71">
        <v>0.11269999999999999</v>
      </c>
      <c r="L4" s="72">
        <f>+G17*K4</f>
        <v>110255.16133333332</v>
      </c>
    </row>
    <row r="5" spans="1:16" x14ac:dyDescent="0.25">
      <c r="A5" s="31" t="s">
        <v>5</v>
      </c>
      <c r="B5" s="35" t="s">
        <v>6</v>
      </c>
      <c r="C5" s="33"/>
      <c r="E5" s="12" t="s">
        <v>40</v>
      </c>
      <c r="F5" s="12"/>
      <c r="G5" s="72">
        <f>+B8/30*F4</f>
        <v>640000</v>
      </c>
      <c r="H5" s="63"/>
      <c r="I5" s="12" t="s">
        <v>46</v>
      </c>
      <c r="J5" s="12" t="s">
        <v>25</v>
      </c>
      <c r="K5" s="87">
        <v>7.0000000000000007E-2</v>
      </c>
      <c r="L5" s="72">
        <f>+G17*7%</f>
        <v>68481.466666666674</v>
      </c>
    </row>
    <row r="6" spans="1:16" x14ac:dyDescent="0.25">
      <c r="A6" s="31" t="s">
        <v>7</v>
      </c>
      <c r="B6" s="35" t="s">
        <v>66</v>
      </c>
      <c r="C6" s="36" t="s">
        <v>9</v>
      </c>
      <c r="E6" s="12" t="s">
        <v>41</v>
      </c>
      <c r="F6" s="12"/>
      <c r="G6" s="73">
        <v>129240</v>
      </c>
      <c r="H6" s="63"/>
      <c r="I6" s="12" t="s">
        <v>47</v>
      </c>
      <c r="J6" s="12"/>
      <c r="K6" s="71">
        <v>6.0000000000000001E-3</v>
      </c>
      <c r="L6" s="72">
        <f>+G17*K6</f>
        <v>5869.84</v>
      </c>
    </row>
    <row r="7" spans="1:16" ht="15.75" thickBot="1" x14ac:dyDescent="0.3">
      <c r="A7" s="31" t="s">
        <v>28</v>
      </c>
      <c r="B7" s="35">
        <v>30</v>
      </c>
      <c r="C7" s="33"/>
      <c r="E7" s="12" t="s">
        <v>96</v>
      </c>
      <c r="F7">
        <v>42</v>
      </c>
      <c r="G7" s="88">
        <f>+(7/(45*30))*1.5*B8*F7</f>
        <v>209066.66666666666</v>
      </c>
      <c r="H7" s="63"/>
      <c r="I7" s="12" t="s">
        <v>20</v>
      </c>
      <c r="J7" s="12" t="s">
        <v>85</v>
      </c>
      <c r="K7" s="76">
        <v>28838.63</v>
      </c>
      <c r="L7" s="73">
        <v>0</v>
      </c>
    </row>
    <row r="8" spans="1:16" ht="15.75" thickBot="1" x14ac:dyDescent="0.3">
      <c r="A8" s="31" t="s">
        <v>10</v>
      </c>
      <c r="B8" s="37">
        <v>640000</v>
      </c>
      <c r="C8" s="33"/>
      <c r="E8" s="65" t="s">
        <v>82</v>
      </c>
      <c r="F8" s="74"/>
      <c r="G8" s="75">
        <f>SUM(G5:G7)</f>
        <v>978306.66666666663</v>
      </c>
      <c r="H8" s="63"/>
      <c r="I8" s="69" t="s">
        <v>89</v>
      </c>
      <c r="J8" s="69"/>
      <c r="K8" s="75"/>
      <c r="L8" s="77">
        <f>SUM(L4:L7)</f>
        <v>184606.46799999999</v>
      </c>
    </row>
    <row r="9" spans="1:16" ht="15.75" thickBot="1" x14ac:dyDescent="0.3">
      <c r="A9" s="31" t="s">
        <v>11</v>
      </c>
      <c r="B9" s="35" t="s">
        <v>12</v>
      </c>
      <c r="C9" s="33"/>
      <c r="E9" s="12"/>
      <c r="F9" s="12"/>
      <c r="G9" s="72"/>
      <c r="H9" s="63"/>
      <c r="I9" s="12"/>
      <c r="J9" s="12"/>
      <c r="K9" s="72"/>
      <c r="L9" s="72"/>
    </row>
    <row r="10" spans="1:16" ht="15.75" thickBot="1" x14ac:dyDescent="0.3">
      <c r="A10" s="31" t="s">
        <v>13</v>
      </c>
      <c r="B10" s="37">
        <v>35000</v>
      </c>
      <c r="C10" s="33"/>
      <c r="E10" s="12" t="s">
        <v>42</v>
      </c>
      <c r="F10" s="12"/>
      <c r="G10" s="72">
        <f>+B11/30*F4</f>
        <v>35000</v>
      </c>
      <c r="H10" s="63"/>
      <c r="I10" s="69" t="s">
        <v>48</v>
      </c>
      <c r="J10" s="69"/>
      <c r="K10" s="75"/>
      <c r="L10" s="77">
        <f>+(G18*0.04)-27555.66</f>
        <v>4192.3479466666649</v>
      </c>
    </row>
    <row r="11" spans="1:16" x14ac:dyDescent="0.25">
      <c r="A11" s="31" t="s">
        <v>14</v>
      </c>
      <c r="B11" s="37">
        <v>35000</v>
      </c>
      <c r="C11" s="33"/>
      <c r="E11" s="12" t="s">
        <v>43</v>
      </c>
      <c r="F11" s="12"/>
      <c r="G11" s="72">
        <f>+B10/30*F4</f>
        <v>35000</v>
      </c>
      <c r="H11" s="63"/>
      <c r="I11" s="12"/>
      <c r="J11" s="12"/>
      <c r="K11" s="72"/>
      <c r="L11" s="72"/>
    </row>
    <row r="12" spans="1:16" ht="15.75" thickBot="1" x14ac:dyDescent="0.3">
      <c r="A12" s="31" t="s">
        <v>52</v>
      </c>
      <c r="B12" s="38">
        <v>42</v>
      </c>
      <c r="C12" s="33"/>
      <c r="E12" s="12" t="s">
        <v>93</v>
      </c>
      <c r="F12" s="12"/>
      <c r="G12" s="73">
        <v>0</v>
      </c>
      <c r="H12" s="63"/>
      <c r="I12" s="12" t="s">
        <v>91</v>
      </c>
      <c r="J12" s="12"/>
      <c r="K12" s="72"/>
      <c r="L12" s="72">
        <f>+B16</f>
        <v>120000</v>
      </c>
    </row>
    <row r="13" spans="1:16" ht="15.75" thickBot="1" x14ac:dyDescent="0.3">
      <c r="A13" s="31" t="s">
        <v>18</v>
      </c>
      <c r="B13" s="37" t="s">
        <v>24</v>
      </c>
      <c r="C13" s="33"/>
      <c r="E13" s="65" t="s">
        <v>83</v>
      </c>
      <c r="F13" s="69"/>
      <c r="G13" s="75">
        <f>SUM(G10:G12)</f>
        <v>70000</v>
      </c>
      <c r="H13" s="63"/>
      <c r="I13" s="12" t="s">
        <v>95</v>
      </c>
      <c r="J13" s="12"/>
      <c r="K13" s="72"/>
      <c r="L13" s="73">
        <f>+B17</f>
        <v>80000</v>
      </c>
      <c r="P13">
        <f>640000*0.25</f>
        <v>160000</v>
      </c>
    </row>
    <row r="14" spans="1:16" x14ac:dyDescent="0.25">
      <c r="A14" s="31" t="s">
        <v>25</v>
      </c>
      <c r="B14" s="39">
        <v>7.0000000000000007E-2</v>
      </c>
      <c r="C14" s="33"/>
      <c r="E14" s="12"/>
      <c r="F14" s="12"/>
      <c r="G14" s="12"/>
      <c r="H14" s="63"/>
      <c r="I14" s="12" t="s">
        <v>92</v>
      </c>
      <c r="J14" s="12"/>
      <c r="K14" s="12"/>
      <c r="L14" s="73">
        <f>+B18</f>
        <v>200000</v>
      </c>
    </row>
    <row r="15" spans="1:16" ht="15.75" thickBot="1" x14ac:dyDescent="0.3">
      <c r="A15" s="40" t="s">
        <v>16</v>
      </c>
      <c r="B15" s="41"/>
      <c r="C15" s="33"/>
      <c r="E15" s="12"/>
      <c r="F15" s="12"/>
      <c r="G15" s="12"/>
      <c r="H15" s="63"/>
      <c r="I15" s="12"/>
      <c r="J15" s="12"/>
      <c r="K15" s="12"/>
      <c r="L15" s="73"/>
    </row>
    <row r="16" spans="1:16" ht="15.75" thickBot="1" x14ac:dyDescent="0.3">
      <c r="A16" s="31" t="s">
        <v>26</v>
      </c>
      <c r="B16" s="42">
        <v>120000</v>
      </c>
      <c r="C16" s="43" t="s">
        <v>56</v>
      </c>
      <c r="E16" s="25" t="s">
        <v>44</v>
      </c>
      <c r="F16" s="78"/>
      <c r="G16" s="79">
        <f>+G8+G13</f>
        <v>1048306.6666666666</v>
      </c>
      <c r="H16" s="63"/>
      <c r="I16" s="69" t="s">
        <v>88</v>
      </c>
      <c r="J16" s="69"/>
      <c r="K16" s="69"/>
      <c r="L16" s="77">
        <f>SUM(L12:L15)</f>
        <v>400000</v>
      </c>
    </row>
    <row r="17" spans="1:12" ht="15.75" thickBot="1" x14ac:dyDescent="0.3">
      <c r="A17" s="31" t="s">
        <v>17</v>
      </c>
      <c r="B17" s="42">
        <v>80000</v>
      </c>
      <c r="C17" s="33"/>
      <c r="E17" s="65" t="s">
        <v>94</v>
      </c>
      <c r="F17" s="69"/>
      <c r="G17" s="75">
        <f>+G8</f>
        <v>978306.66666666663</v>
      </c>
      <c r="H17" s="63"/>
      <c r="I17" s="12"/>
      <c r="J17" s="12"/>
      <c r="K17" s="12"/>
      <c r="L17" s="12"/>
    </row>
    <row r="18" spans="1:12" ht="15.75" thickBot="1" x14ac:dyDescent="0.3">
      <c r="A18" s="31" t="s">
        <v>27</v>
      </c>
      <c r="B18" s="42">
        <v>200000</v>
      </c>
      <c r="C18" s="33"/>
      <c r="E18" s="80" t="s">
        <v>45</v>
      </c>
      <c r="F18" s="81"/>
      <c r="G18" s="82">
        <f>+G8-L8</f>
        <v>793700.19866666663</v>
      </c>
      <c r="H18" s="63"/>
      <c r="I18" s="69" t="s">
        <v>49</v>
      </c>
      <c r="J18" s="69"/>
      <c r="K18" s="75"/>
      <c r="L18" s="77">
        <f>+L8+L10+L16</f>
        <v>588798.81594666664</v>
      </c>
    </row>
    <row r="19" spans="1:12" ht="15.75" thickBot="1" x14ac:dyDescent="0.3">
      <c r="A19" s="31"/>
      <c r="B19" s="42"/>
      <c r="C19" s="33"/>
      <c r="E19" s="12"/>
      <c r="F19" s="12"/>
      <c r="G19" s="72"/>
      <c r="H19" s="64"/>
      <c r="I19" s="12"/>
      <c r="J19" s="12"/>
      <c r="K19" s="72"/>
      <c r="L19" s="72"/>
    </row>
    <row r="20" spans="1:12" ht="16.5" thickBot="1" x14ac:dyDescent="0.3">
      <c r="A20" s="45"/>
      <c r="B20" s="46"/>
      <c r="C20" s="47"/>
      <c r="E20" s="83" t="s">
        <v>50</v>
      </c>
      <c r="F20" s="84"/>
      <c r="G20" s="84"/>
      <c r="H20" s="84"/>
      <c r="I20" s="84"/>
      <c r="J20" s="84"/>
      <c r="K20" s="85"/>
      <c r="L20" s="86">
        <f>+G16-L18</f>
        <v>459507.85071999999</v>
      </c>
    </row>
  </sheetData>
  <mergeCells count="4">
    <mergeCell ref="E2:G2"/>
    <mergeCell ref="I2:L2"/>
    <mergeCell ref="E20:K20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Normal="100" workbookViewId="0">
      <selection activeCell="N6" sqref="N6"/>
    </sheetView>
  </sheetViews>
  <sheetFormatPr baseColWidth="10" defaultRowHeight="15" x14ac:dyDescent="0.25"/>
  <cols>
    <col min="1" max="1" width="26.140625" customWidth="1"/>
    <col min="2" max="2" width="22.5703125" customWidth="1"/>
    <col min="5" max="5" width="19.140625" customWidth="1"/>
    <col min="6" max="6" width="7.28515625" customWidth="1"/>
    <col min="8" max="8" width="4.140625" customWidth="1"/>
    <col min="11" max="11" width="12.5703125" customWidth="1"/>
  </cols>
  <sheetData>
    <row r="1" spans="1:14" ht="15.75" thickBot="1" x14ac:dyDescent="0.3"/>
    <row r="2" spans="1:14" ht="19.5" thickBot="1" x14ac:dyDescent="0.35">
      <c r="A2" s="6" t="s">
        <v>29</v>
      </c>
      <c r="B2" s="7"/>
      <c r="C2" s="1"/>
      <c r="E2" s="58" t="s">
        <v>37</v>
      </c>
      <c r="F2" s="59"/>
      <c r="G2" s="59"/>
      <c r="H2" s="60"/>
      <c r="I2" s="59" t="s">
        <v>38</v>
      </c>
      <c r="J2" s="59"/>
      <c r="K2" s="59"/>
      <c r="L2" s="61"/>
    </row>
    <row r="3" spans="1:14" ht="15.75" thickBot="1" x14ac:dyDescent="0.3">
      <c r="A3" s="2"/>
      <c r="B3" s="3"/>
      <c r="C3" s="4"/>
      <c r="E3" s="12"/>
      <c r="F3" s="12"/>
      <c r="G3" s="12"/>
      <c r="H3" s="62"/>
      <c r="I3" s="12"/>
      <c r="J3" s="12"/>
      <c r="K3" s="12"/>
      <c r="L3" s="12"/>
    </row>
    <row r="4" spans="1:14" x14ac:dyDescent="0.25">
      <c r="A4" s="25" t="s">
        <v>0</v>
      </c>
      <c r="B4" s="48" t="s">
        <v>70</v>
      </c>
      <c r="C4" s="49"/>
      <c r="E4" s="12" t="s">
        <v>39</v>
      </c>
      <c r="F4" s="12">
        <f>+B9</f>
        <v>30</v>
      </c>
      <c r="G4" s="12"/>
      <c r="H4" s="63"/>
      <c r="I4" s="12" t="s">
        <v>18</v>
      </c>
      <c r="J4" s="70" t="str">
        <f>+B18</f>
        <v>Planvital</v>
      </c>
      <c r="K4" s="71">
        <v>0.1116</v>
      </c>
      <c r="L4" s="72">
        <f>+G18*K4</f>
        <v>98647.159285714297</v>
      </c>
    </row>
    <row r="5" spans="1:14" x14ac:dyDescent="0.25">
      <c r="A5" s="31" t="s">
        <v>2</v>
      </c>
      <c r="B5" s="32" t="s">
        <v>3</v>
      </c>
      <c r="C5" s="33"/>
      <c r="E5" s="12" t="s">
        <v>40</v>
      </c>
      <c r="F5" s="12"/>
      <c r="G5" s="72">
        <f>+B10/30*F4</f>
        <v>590000</v>
      </c>
      <c r="H5" s="63"/>
      <c r="I5" s="12" t="s">
        <v>46</v>
      </c>
      <c r="J5" s="12" t="s">
        <v>25</v>
      </c>
      <c r="K5" s="87">
        <v>7.0000000000000007E-2</v>
      </c>
      <c r="L5" s="72">
        <f>+G18*7%</f>
        <v>61875.458333333343</v>
      </c>
    </row>
    <row r="6" spans="1:14" x14ac:dyDescent="0.25">
      <c r="A6" s="31" t="s">
        <v>4</v>
      </c>
      <c r="B6" s="34">
        <v>40111</v>
      </c>
      <c r="C6" s="33"/>
      <c r="E6" s="12" t="s">
        <v>41</v>
      </c>
      <c r="F6" s="12"/>
      <c r="G6" s="73">
        <v>129240</v>
      </c>
      <c r="H6" s="63"/>
      <c r="I6" s="12" t="s">
        <v>47</v>
      </c>
      <c r="J6" s="12"/>
      <c r="K6" s="71">
        <v>6.0000000000000001E-3</v>
      </c>
      <c r="L6" s="72">
        <f>+G18*K6</f>
        <v>5303.6107142857145</v>
      </c>
      <c r="N6" s="5"/>
    </row>
    <row r="7" spans="1:14" ht="15.75" thickBot="1" x14ac:dyDescent="0.3">
      <c r="A7" s="31" t="s">
        <v>5</v>
      </c>
      <c r="B7" s="35" t="s">
        <v>6</v>
      </c>
      <c r="C7" s="33"/>
      <c r="E7" s="12" t="s">
        <v>97</v>
      </c>
      <c r="G7" s="73">
        <f>255*285</f>
        <v>72675</v>
      </c>
      <c r="H7" s="63"/>
      <c r="I7" s="12" t="s">
        <v>20</v>
      </c>
      <c r="J7" s="12" t="s">
        <v>85</v>
      </c>
      <c r="K7" s="89">
        <v>28838.63</v>
      </c>
      <c r="L7" s="73">
        <v>0</v>
      </c>
    </row>
    <row r="8" spans="1:14" ht="15.75" thickBot="1" x14ac:dyDescent="0.3">
      <c r="A8" s="31" t="s">
        <v>7</v>
      </c>
      <c r="B8" s="50" t="s">
        <v>23</v>
      </c>
      <c r="C8" s="36" t="s">
        <v>9</v>
      </c>
      <c r="E8" s="12" t="s">
        <v>98</v>
      </c>
      <c r="G8" s="73">
        <f>+G7/21*6</f>
        <v>20764.285714285714</v>
      </c>
      <c r="H8" s="63"/>
      <c r="I8" s="69" t="s">
        <v>89</v>
      </c>
      <c r="J8" s="69"/>
      <c r="K8" s="75"/>
      <c r="L8" s="77">
        <f>SUM(L4:L7)</f>
        <v>165826.22833333336</v>
      </c>
    </row>
    <row r="9" spans="1:14" ht="15.75" thickBot="1" x14ac:dyDescent="0.3">
      <c r="A9" s="31" t="s">
        <v>28</v>
      </c>
      <c r="B9" s="35">
        <v>30</v>
      </c>
      <c r="C9" s="33"/>
      <c r="E9" s="12" t="s">
        <v>96</v>
      </c>
      <c r="F9">
        <v>15</v>
      </c>
      <c r="G9" s="88">
        <f>+(7/(45*30))*1.5*(B10+G8)*F9</f>
        <v>71255.833333333328</v>
      </c>
      <c r="H9" s="63"/>
      <c r="I9" s="12"/>
      <c r="J9" s="12"/>
      <c r="K9" s="72"/>
      <c r="L9" s="72"/>
    </row>
    <row r="10" spans="1:14" ht="15.75" thickBot="1" x14ac:dyDescent="0.3">
      <c r="A10" s="31" t="s">
        <v>10</v>
      </c>
      <c r="B10" s="37">
        <v>590000</v>
      </c>
      <c r="C10" s="33"/>
      <c r="E10" s="65" t="s">
        <v>82</v>
      </c>
      <c r="F10" s="74"/>
      <c r="G10" s="75">
        <f>SUM(G5:G9)</f>
        <v>883935.11904761905</v>
      </c>
      <c r="H10" s="63"/>
      <c r="I10" s="69" t="s">
        <v>48</v>
      </c>
      <c r="J10" s="69"/>
      <c r="K10" s="75"/>
      <c r="L10" s="77">
        <f>+(G19*0.04)-27555.66</f>
        <v>1168.6956285714259</v>
      </c>
    </row>
    <row r="11" spans="1:14" x14ac:dyDescent="0.25">
      <c r="A11" s="31" t="s">
        <v>11</v>
      </c>
      <c r="B11" s="35" t="s">
        <v>12</v>
      </c>
      <c r="C11" s="33"/>
      <c r="E11" s="12" t="s">
        <v>42</v>
      </c>
      <c r="F11" s="12"/>
      <c r="G11" s="72">
        <f>+B15/30*F4</f>
        <v>20000</v>
      </c>
      <c r="H11" s="63"/>
      <c r="I11" s="12"/>
      <c r="J11" s="12"/>
      <c r="K11" s="72"/>
      <c r="L11" s="72"/>
    </row>
    <row r="12" spans="1:14" x14ac:dyDescent="0.25">
      <c r="A12" s="31" t="s">
        <v>31</v>
      </c>
      <c r="B12" s="35" t="s">
        <v>59</v>
      </c>
      <c r="C12" s="33"/>
      <c r="E12" s="12" t="s">
        <v>43</v>
      </c>
      <c r="F12" s="12"/>
      <c r="G12" s="72">
        <f>+B16/30*F4</f>
        <v>20000</v>
      </c>
      <c r="H12" s="63"/>
      <c r="I12" s="12" t="s">
        <v>91</v>
      </c>
      <c r="J12" s="12"/>
      <c r="K12" s="72"/>
      <c r="L12" s="72">
        <f>+B16</f>
        <v>20000</v>
      </c>
    </row>
    <row r="13" spans="1:14" ht="15.75" thickBot="1" x14ac:dyDescent="0.3">
      <c r="A13" s="31" t="s">
        <v>32</v>
      </c>
      <c r="B13" s="35" t="s">
        <v>60</v>
      </c>
      <c r="C13" s="33"/>
      <c r="E13" s="12" t="s">
        <v>93</v>
      </c>
      <c r="F13" s="12"/>
      <c r="G13" s="73">
        <f>3*2599</f>
        <v>7797</v>
      </c>
      <c r="H13" s="63"/>
      <c r="I13" s="12" t="s">
        <v>92</v>
      </c>
      <c r="J13" s="12"/>
      <c r="K13" s="12"/>
      <c r="L13" s="73">
        <f>+B23</f>
        <v>60000</v>
      </c>
    </row>
    <row r="14" spans="1:14" ht="15.75" thickBot="1" x14ac:dyDescent="0.3">
      <c r="A14" s="31" t="s">
        <v>53</v>
      </c>
      <c r="B14" s="35">
        <v>15</v>
      </c>
      <c r="C14" s="33"/>
      <c r="E14" s="65" t="s">
        <v>83</v>
      </c>
      <c r="F14" s="69"/>
      <c r="G14" s="75">
        <f>SUM(G11:G13)</f>
        <v>47797</v>
      </c>
      <c r="H14" s="63"/>
    </row>
    <row r="15" spans="1:14" ht="15.75" thickBot="1" x14ac:dyDescent="0.3">
      <c r="A15" s="31" t="s">
        <v>13</v>
      </c>
      <c r="B15" s="37">
        <v>20000</v>
      </c>
      <c r="C15" s="33"/>
      <c r="E15" s="12"/>
      <c r="F15" s="12"/>
      <c r="G15" s="12"/>
      <c r="H15" s="63"/>
      <c r="I15" s="12"/>
      <c r="J15" s="12"/>
      <c r="K15" s="12"/>
      <c r="L15" s="73"/>
    </row>
    <row r="16" spans="1:14" ht="15.75" thickBot="1" x14ac:dyDescent="0.3">
      <c r="A16" s="31" t="s">
        <v>14</v>
      </c>
      <c r="B16" s="37">
        <v>20000</v>
      </c>
      <c r="C16" s="33"/>
      <c r="E16" s="12"/>
      <c r="F16" s="12"/>
      <c r="G16" s="12"/>
      <c r="H16" s="63"/>
      <c r="I16" s="69" t="s">
        <v>88</v>
      </c>
      <c r="J16" s="69"/>
      <c r="K16" s="69"/>
      <c r="L16" s="77">
        <f>SUM(L12:L15)</f>
        <v>80000</v>
      </c>
    </row>
    <row r="17" spans="1:14" ht="15.75" thickBot="1" x14ac:dyDescent="0.3">
      <c r="A17" s="31" t="s">
        <v>15</v>
      </c>
      <c r="B17" s="51">
        <v>3</v>
      </c>
      <c r="C17" s="36" t="s">
        <v>72</v>
      </c>
      <c r="E17" s="25" t="s">
        <v>44</v>
      </c>
      <c r="F17" s="78"/>
      <c r="G17" s="79">
        <f>+G10+G14</f>
        <v>931732.11904761905</v>
      </c>
      <c r="H17" s="63"/>
      <c r="I17" s="12"/>
      <c r="J17" s="12"/>
      <c r="K17" s="12"/>
      <c r="L17" s="12"/>
    </row>
    <row r="18" spans="1:14" ht="15.75" thickBot="1" x14ac:dyDescent="0.3">
      <c r="A18" s="31" t="s">
        <v>18</v>
      </c>
      <c r="B18" s="37" t="s">
        <v>73</v>
      </c>
      <c r="C18" s="33"/>
      <c r="E18" s="65" t="s">
        <v>94</v>
      </c>
      <c r="F18" s="69"/>
      <c r="G18" s="75">
        <f>+G10</f>
        <v>883935.11904761905</v>
      </c>
      <c r="H18" s="63"/>
      <c r="I18" s="69" t="s">
        <v>49</v>
      </c>
      <c r="J18" s="69"/>
      <c r="K18" s="75"/>
      <c r="L18" s="77">
        <f>+L8+L10+L16</f>
        <v>246994.92396190477</v>
      </c>
    </row>
    <row r="19" spans="1:14" ht="15.75" thickBot="1" x14ac:dyDescent="0.3">
      <c r="A19" s="31" t="s">
        <v>30</v>
      </c>
      <c r="B19" s="39">
        <v>7.0000000000000007E-2</v>
      </c>
      <c r="C19" s="33"/>
      <c r="E19" s="80" t="s">
        <v>45</v>
      </c>
      <c r="F19" s="81"/>
      <c r="G19" s="82">
        <f>+G10-L8</f>
        <v>718108.89071428566</v>
      </c>
      <c r="H19" s="64"/>
      <c r="I19" s="12"/>
      <c r="J19" s="12"/>
      <c r="K19" s="72"/>
      <c r="L19" s="72"/>
    </row>
    <row r="20" spans="1:14" ht="16.5" thickBot="1" x14ac:dyDescent="0.3">
      <c r="A20" s="31" t="s">
        <v>20</v>
      </c>
      <c r="B20" s="35">
        <v>0</v>
      </c>
      <c r="C20" s="33"/>
      <c r="E20" s="83" t="s">
        <v>50</v>
      </c>
      <c r="F20" s="84"/>
      <c r="G20" s="84"/>
      <c r="H20" s="84"/>
      <c r="I20" s="84"/>
      <c r="J20" s="84"/>
      <c r="K20" s="85"/>
      <c r="L20" s="86">
        <f>+G17-L18</f>
        <v>684737.19508571434</v>
      </c>
    </row>
    <row r="21" spans="1:14" x14ac:dyDescent="0.25">
      <c r="A21" s="40" t="s">
        <v>16</v>
      </c>
      <c r="B21" s="41"/>
      <c r="C21" s="33"/>
    </row>
    <row r="22" spans="1:14" x14ac:dyDescent="0.25">
      <c r="A22" s="31" t="s">
        <v>17</v>
      </c>
      <c r="B22" s="44">
        <v>35000</v>
      </c>
      <c r="C22" s="33"/>
      <c r="G22" s="9"/>
      <c r="H22" s="9"/>
      <c r="I22" s="10"/>
      <c r="J22" s="9"/>
      <c r="K22" s="9"/>
      <c r="L22" s="8"/>
      <c r="M22" s="10"/>
      <c r="N22" s="8"/>
    </row>
    <row r="23" spans="1:14" x14ac:dyDescent="0.25">
      <c r="A23" s="31" t="s">
        <v>33</v>
      </c>
      <c r="B23" s="44">
        <v>60000</v>
      </c>
      <c r="C23" s="33"/>
      <c r="G23" s="9"/>
      <c r="H23" s="9"/>
      <c r="I23" s="10"/>
      <c r="J23" s="9"/>
      <c r="K23" s="9"/>
      <c r="L23" s="9"/>
      <c r="M23" s="10"/>
      <c r="N23" s="8"/>
    </row>
    <row r="24" spans="1:14" ht="15.75" thickBot="1" x14ac:dyDescent="0.3">
      <c r="A24" s="45"/>
      <c r="B24" s="52"/>
      <c r="C24" s="53"/>
    </row>
  </sheetData>
  <mergeCells count="12">
    <mergeCell ref="L22:L23"/>
    <mergeCell ref="M22:M23"/>
    <mergeCell ref="N22:N23"/>
    <mergeCell ref="A2:B2"/>
    <mergeCell ref="H22:H23"/>
    <mergeCell ref="G22:G23"/>
    <mergeCell ref="I22:I23"/>
    <mergeCell ref="J22:J23"/>
    <mergeCell ref="K22:K23"/>
    <mergeCell ref="E2:G2"/>
    <mergeCell ref="I2:L2"/>
    <mergeCell ref="E20:K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D1A3-5294-41B9-9C48-3C36ADE56AC7}">
  <dimension ref="A1:N24"/>
  <sheetViews>
    <sheetView workbookViewId="0">
      <selection activeCell="P16" sqref="P16"/>
    </sheetView>
  </sheetViews>
  <sheetFormatPr baseColWidth="10" defaultRowHeight="15" x14ac:dyDescent="0.25"/>
  <cols>
    <col min="1" max="1" width="26.140625" customWidth="1"/>
    <col min="2" max="2" width="22.5703125" customWidth="1"/>
    <col min="5" max="5" width="19.140625" customWidth="1"/>
    <col min="6" max="6" width="7.28515625" customWidth="1"/>
    <col min="7" max="7" width="12" bestFit="1" customWidth="1"/>
    <col min="8" max="8" width="6" customWidth="1"/>
    <col min="11" max="11" width="13.28515625" customWidth="1"/>
    <col min="12" max="12" width="14.28515625" customWidth="1"/>
  </cols>
  <sheetData>
    <row r="1" spans="1:14" ht="15.75" thickBot="1" x14ac:dyDescent="0.3"/>
    <row r="2" spans="1:14" ht="19.5" thickBot="1" x14ac:dyDescent="0.35">
      <c r="A2" s="6" t="s">
        <v>29</v>
      </c>
      <c r="B2" s="7"/>
      <c r="C2" s="1"/>
      <c r="E2" s="58" t="s">
        <v>37</v>
      </c>
      <c r="F2" s="59"/>
      <c r="G2" s="59"/>
      <c r="H2" s="60"/>
      <c r="I2" s="59" t="s">
        <v>38</v>
      </c>
      <c r="J2" s="59"/>
      <c r="K2" s="59"/>
      <c r="L2" s="61"/>
    </row>
    <row r="3" spans="1:14" ht="15.75" thickBot="1" x14ac:dyDescent="0.3">
      <c r="A3" s="2"/>
      <c r="B3" s="3"/>
      <c r="C3" s="4"/>
      <c r="E3" s="12"/>
      <c r="F3" s="12"/>
      <c r="G3" s="12"/>
      <c r="H3" s="62"/>
      <c r="I3" s="12"/>
      <c r="J3" s="12"/>
      <c r="K3" s="12"/>
      <c r="L3" s="12"/>
    </row>
    <row r="4" spans="1:14" x14ac:dyDescent="0.25">
      <c r="A4" s="25" t="s">
        <v>0</v>
      </c>
      <c r="B4" s="48" t="s">
        <v>71</v>
      </c>
      <c r="C4" s="49"/>
      <c r="E4" s="12" t="s">
        <v>39</v>
      </c>
      <c r="F4" s="12">
        <f>+B9</f>
        <v>30</v>
      </c>
      <c r="G4" s="12"/>
      <c r="H4" s="63"/>
      <c r="I4" s="12" t="s">
        <v>18</v>
      </c>
      <c r="J4" s="70" t="str">
        <f>+B18</f>
        <v>Provida</v>
      </c>
      <c r="K4" s="71">
        <v>0.1145</v>
      </c>
      <c r="L4" s="72">
        <f>+G17*K4</f>
        <v>197997.98</v>
      </c>
    </row>
    <row r="5" spans="1:14" x14ac:dyDescent="0.25">
      <c r="A5" s="31" t="s">
        <v>2</v>
      </c>
      <c r="B5" s="32" t="s">
        <v>3</v>
      </c>
      <c r="C5" s="33"/>
      <c r="E5" s="12" t="s">
        <v>40</v>
      </c>
      <c r="F5" s="12"/>
      <c r="G5" s="72">
        <f>+B10/30*F4</f>
        <v>1600000</v>
      </c>
      <c r="H5" s="63"/>
      <c r="I5" s="12" t="s">
        <v>46</v>
      </c>
      <c r="J5" s="12" t="s">
        <v>99</v>
      </c>
      <c r="K5" s="90">
        <f>6*28838.63</f>
        <v>173031.78</v>
      </c>
      <c r="L5" s="72">
        <f>+G18*7%</f>
        <v>161900.06000000003</v>
      </c>
    </row>
    <row r="6" spans="1:14" x14ac:dyDescent="0.25">
      <c r="A6" s="31" t="s">
        <v>4</v>
      </c>
      <c r="B6" s="34">
        <v>40985</v>
      </c>
      <c r="C6" s="33"/>
      <c r="E6" s="12" t="s">
        <v>41</v>
      </c>
      <c r="F6" s="12"/>
      <c r="G6" s="73">
        <v>129240</v>
      </c>
      <c r="H6" s="63"/>
      <c r="I6" s="12" t="s">
        <v>47</v>
      </c>
      <c r="J6" s="12"/>
      <c r="K6" s="71">
        <v>6.0000000000000001E-3</v>
      </c>
      <c r="L6" s="72">
        <f>+G17*K6</f>
        <v>10375.44</v>
      </c>
      <c r="N6" s="5"/>
    </row>
    <row r="7" spans="1:14" ht="15.75" thickBot="1" x14ac:dyDescent="0.3">
      <c r="A7" s="31" t="s">
        <v>5</v>
      </c>
      <c r="B7" s="35" t="s">
        <v>6</v>
      </c>
      <c r="C7" s="33"/>
      <c r="E7" s="12" t="s">
        <v>96</v>
      </c>
      <c r="F7">
        <v>0</v>
      </c>
      <c r="G7" s="73">
        <v>0</v>
      </c>
      <c r="H7" s="63"/>
      <c r="I7" s="12" t="s">
        <v>20</v>
      </c>
      <c r="J7" s="12" t="s">
        <v>85</v>
      </c>
      <c r="K7" s="76">
        <v>28838.63</v>
      </c>
      <c r="L7" s="73">
        <v>0</v>
      </c>
    </row>
    <row r="8" spans="1:14" ht="15.75" thickBot="1" x14ac:dyDescent="0.3">
      <c r="A8" s="31" t="s">
        <v>7</v>
      </c>
      <c r="B8" s="35" t="s">
        <v>34</v>
      </c>
      <c r="C8" s="36"/>
      <c r="E8" s="65" t="s">
        <v>82</v>
      </c>
      <c r="F8" s="74"/>
      <c r="G8" s="75">
        <f>SUM(G5:G7)</f>
        <v>1729240</v>
      </c>
      <c r="H8" s="63"/>
      <c r="I8" s="69" t="s">
        <v>89</v>
      </c>
      <c r="J8" s="69"/>
      <c r="K8" s="75"/>
      <c r="L8" s="77">
        <f>SUM(L4:L7)</f>
        <v>370273.48000000004</v>
      </c>
    </row>
    <row r="9" spans="1:14" ht="15.75" thickBot="1" x14ac:dyDescent="0.3">
      <c r="A9" s="31" t="s">
        <v>28</v>
      </c>
      <c r="B9" s="35">
        <v>30</v>
      </c>
      <c r="C9" s="33"/>
      <c r="E9" s="12"/>
      <c r="F9" s="12"/>
      <c r="G9" s="72"/>
      <c r="H9" s="63"/>
      <c r="I9" s="12"/>
      <c r="J9" s="12"/>
      <c r="K9" s="72"/>
      <c r="L9" s="72"/>
    </row>
    <row r="10" spans="1:14" ht="15.75" thickBot="1" x14ac:dyDescent="0.3">
      <c r="A10" s="31" t="s">
        <v>10</v>
      </c>
      <c r="B10" s="37">
        <v>1600000</v>
      </c>
      <c r="C10" s="33"/>
      <c r="E10" s="12" t="s">
        <v>42</v>
      </c>
      <c r="F10" s="12"/>
      <c r="G10" s="72">
        <f>+B15/30*F4</f>
        <v>45000</v>
      </c>
      <c r="H10" s="63"/>
      <c r="I10" s="69" t="s">
        <v>48</v>
      </c>
      <c r="J10" s="69"/>
      <c r="K10" s="75"/>
      <c r="L10" s="77">
        <f>+(G19*0.04)-27555.66</f>
        <v>26803.000800000005</v>
      </c>
    </row>
    <row r="11" spans="1:14" x14ac:dyDescent="0.25">
      <c r="A11" s="31" t="s">
        <v>11</v>
      </c>
      <c r="B11" s="35" t="s">
        <v>12</v>
      </c>
      <c r="C11" s="33"/>
      <c r="E11" s="12" t="s">
        <v>43</v>
      </c>
      <c r="F11" s="12"/>
      <c r="G11" s="72">
        <f>+B16/30*F4</f>
        <v>35000</v>
      </c>
      <c r="H11" s="63"/>
      <c r="I11" s="12"/>
      <c r="J11" s="12"/>
      <c r="K11" s="72"/>
      <c r="L11" s="72"/>
    </row>
    <row r="12" spans="1:14" ht="15.75" thickBot="1" x14ac:dyDescent="0.3">
      <c r="A12" s="31" t="s">
        <v>31</v>
      </c>
      <c r="B12" s="35">
        <v>0</v>
      </c>
      <c r="C12" s="33"/>
      <c r="E12" s="12" t="s">
        <v>93</v>
      </c>
      <c r="F12" s="12"/>
      <c r="G12" s="73">
        <v>0</v>
      </c>
      <c r="H12" s="63"/>
      <c r="I12" s="12" t="s">
        <v>87</v>
      </c>
      <c r="J12" s="12"/>
      <c r="K12" s="72"/>
      <c r="L12" s="72">
        <f>+K5-L5</f>
        <v>11131.719999999972</v>
      </c>
    </row>
    <row r="13" spans="1:14" ht="15.75" thickBot="1" x14ac:dyDescent="0.3">
      <c r="A13" s="31" t="s">
        <v>32</v>
      </c>
      <c r="B13" s="35">
        <v>0</v>
      </c>
      <c r="C13" s="33"/>
      <c r="E13" s="65" t="s">
        <v>83</v>
      </c>
      <c r="F13" s="69"/>
      <c r="G13" s="75">
        <f>SUM(G10:G12)</f>
        <v>80000</v>
      </c>
      <c r="H13" s="63"/>
      <c r="I13" s="12" t="s">
        <v>90</v>
      </c>
      <c r="J13" s="12"/>
      <c r="K13" s="72"/>
      <c r="L13" s="73">
        <f>+B17</f>
        <v>0</v>
      </c>
    </row>
    <row r="14" spans="1:14" x14ac:dyDescent="0.25">
      <c r="A14" s="31" t="s">
        <v>35</v>
      </c>
      <c r="B14" s="35">
        <v>0</v>
      </c>
      <c r="C14" s="33"/>
      <c r="E14" s="12"/>
      <c r="F14" s="12"/>
      <c r="G14" s="12"/>
      <c r="H14" s="63"/>
      <c r="I14" s="12" t="s">
        <v>92</v>
      </c>
      <c r="J14" s="12"/>
      <c r="K14" s="12"/>
      <c r="L14" s="73">
        <f>+B23</f>
        <v>20000</v>
      </c>
    </row>
    <row r="15" spans="1:14" ht="15.75" thickBot="1" x14ac:dyDescent="0.3">
      <c r="A15" s="31" t="s">
        <v>13</v>
      </c>
      <c r="B15" s="37">
        <v>45000</v>
      </c>
      <c r="C15" s="33"/>
      <c r="E15" s="12"/>
      <c r="F15" s="12"/>
      <c r="G15" s="12"/>
      <c r="H15" s="63"/>
      <c r="I15" s="12"/>
      <c r="J15" s="12"/>
      <c r="K15" s="12"/>
      <c r="L15" s="73"/>
    </row>
    <row r="16" spans="1:14" ht="15.75" thickBot="1" x14ac:dyDescent="0.3">
      <c r="A16" s="31" t="s">
        <v>14</v>
      </c>
      <c r="B16" s="37">
        <v>35000</v>
      </c>
      <c r="C16" s="33"/>
      <c r="E16" s="25" t="s">
        <v>44</v>
      </c>
      <c r="F16" s="78"/>
      <c r="G16" s="79">
        <f>+G8+G13</f>
        <v>1809240</v>
      </c>
      <c r="H16" s="63"/>
      <c r="I16" s="69" t="s">
        <v>88</v>
      </c>
      <c r="J16" s="69"/>
      <c r="K16" s="69"/>
      <c r="L16" s="77">
        <f>SUM(L12:L15)</f>
        <v>31131.719999999972</v>
      </c>
    </row>
    <row r="17" spans="1:14" ht="15.75" thickBot="1" x14ac:dyDescent="0.3">
      <c r="A17" s="31" t="s">
        <v>15</v>
      </c>
      <c r="B17" s="37">
        <v>0</v>
      </c>
      <c r="C17" s="33"/>
      <c r="E17" s="65" t="s">
        <v>94</v>
      </c>
      <c r="F17" s="69"/>
      <c r="G17" s="75">
        <f>+G8</f>
        <v>1729240</v>
      </c>
      <c r="H17" s="63"/>
      <c r="I17" s="12"/>
      <c r="J17" s="12"/>
      <c r="K17" s="12"/>
      <c r="L17" s="12"/>
    </row>
    <row r="18" spans="1:14" ht="15.75" thickBot="1" x14ac:dyDescent="0.3">
      <c r="A18" s="31" t="s">
        <v>18</v>
      </c>
      <c r="B18" s="37" t="s">
        <v>74</v>
      </c>
      <c r="C18" s="33"/>
      <c r="E18" s="65" t="s">
        <v>84</v>
      </c>
      <c r="F18" s="69"/>
      <c r="G18" s="75">
        <v>2312858</v>
      </c>
      <c r="H18" s="63"/>
      <c r="I18" s="69" t="s">
        <v>49</v>
      </c>
      <c r="J18" s="69"/>
      <c r="K18" s="75"/>
      <c r="L18" s="77">
        <f>+L8+L10+L16</f>
        <v>428208.20079999999</v>
      </c>
    </row>
    <row r="19" spans="1:14" ht="15.75" thickBot="1" x14ac:dyDescent="0.3">
      <c r="A19" s="31" t="s">
        <v>36</v>
      </c>
      <c r="B19" s="39" t="s">
        <v>75</v>
      </c>
      <c r="C19" s="33"/>
      <c r="E19" s="80" t="s">
        <v>45</v>
      </c>
      <c r="F19" s="81"/>
      <c r="G19" s="82">
        <f>+G8-L8</f>
        <v>1358966.52</v>
      </c>
      <c r="H19" s="64"/>
      <c r="I19" s="12"/>
      <c r="J19" s="12"/>
      <c r="K19" s="72"/>
      <c r="L19" s="72"/>
    </row>
    <row r="20" spans="1:14" ht="16.5" thickBot="1" x14ac:dyDescent="0.3">
      <c r="A20" s="31" t="s">
        <v>20</v>
      </c>
      <c r="B20" s="35">
        <v>0</v>
      </c>
      <c r="C20" s="33"/>
      <c r="E20" s="83" t="s">
        <v>50</v>
      </c>
      <c r="F20" s="84"/>
      <c r="G20" s="84"/>
      <c r="H20" s="84"/>
      <c r="I20" s="84"/>
      <c r="J20" s="84"/>
      <c r="K20" s="85"/>
      <c r="L20" s="86">
        <f>+G16-L18</f>
        <v>1381031.7992</v>
      </c>
    </row>
    <row r="21" spans="1:14" x14ac:dyDescent="0.25">
      <c r="A21" s="40" t="s">
        <v>16</v>
      </c>
      <c r="B21" s="41"/>
      <c r="C21" s="33"/>
    </row>
    <row r="22" spans="1:14" x14ac:dyDescent="0.25">
      <c r="A22" s="31" t="s">
        <v>57</v>
      </c>
      <c r="B22" s="41" t="s">
        <v>58</v>
      </c>
      <c r="C22" s="33"/>
      <c r="G22" s="9"/>
      <c r="H22" s="9"/>
      <c r="I22" s="10"/>
      <c r="J22" s="9"/>
      <c r="K22" s="9"/>
      <c r="L22" s="8"/>
      <c r="M22" s="10"/>
      <c r="N22" s="8"/>
    </row>
    <row r="23" spans="1:14" x14ac:dyDescent="0.25">
      <c r="A23" s="31" t="s">
        <v>76</v>
      </c>
      <c r="B23" s="44">
        <v>20000</v>
      </c>
      <c r="C23" s="33"/>
      <c r="G23" s="9"/>
      <c r="H23" s="9"/>
      <c r="I23" s="10"/>
      <c r="J23" s="9"/>
      <c r="K23" s="9"/>
      <c r="L23" s="9"/>
      <c r="M23" s="10"/>
      <c r="N23" s="8"/>
    </row>
    <row r="24" spans="1:14" ht="15.75" thickBot="1" x14ac:dyDescent="0.3">
      <c r="A24" s="54"/>
      <c r="B24" s="55"/>
      <c r="C24" s="47"/>
    </row>
  </sheetData>
  <mergeCells count="13">
    <mergeCell ref="L22:L23"/>
    <mergeCell ref="M22:M23"/>
    <mergeCell ref="N22:N23"/>
    <mergeCell ref="A24:B24"/>
    <mergeCell ref="E2:G2"/>
    <mergeCell ref="I2:L2"/>
    <mergeCell ref="E20:K20"/>
    <mergeCell ref="A2:B2"/>
    <mergeCell ref="G22:G23"/>
    <mergeCell ref="H22:H23"/>
    <mergeCell ref="I22:I23"/>
    <mergeCell ref="J22:J23"/>
    <mergeCell ref="K22:K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3C5B-E802-4658-93CA-6CF9714984AE}">
  <sheetPr>
    <pageSetUpPr fitToPage="1"/>
  </sheetPr>
  <dimension ref="I22:M26"/>
  <sheetViews>
    <sheetView topLeftCell="A10" zoomScaleNormal="100" workbookViewId="0">
      <selection activeCell="M9" sqref="M9"/>
    </sheetView>
  </sheetViews>
  <sheetFormatPr baseColWidth="10" defaultRowHeight="15" x14ac:dyDescent="0.25"/>
  <cols>
    <col min="1" max="6" width="11.42578125" style="12"/>
    <col min="7" max="7" width="18.140625" style="12" customWidth="1"/>
    <col min="8" max="16384" width="11.42578125" style="12"/>
  </cols>
  <sheetData>
    <row r="22" spans="9:13" x14ac:dyDescent="0.25">
      <c r="I22" s="12" t="s">
        <v>77</v>
      </c>
    </row>
    <row r="24" spans="9:13" x14ac:dyDescent="0.25">
      <c r="I24" s="12" t="s">
        <v>78</v>
      </c>
      <c r="K24" s="57">
        <v>326500</v>
      </c>
    </row>
    <row r="25" spans="9:13" x14ac:dyDescent="0.25">
      <c r="I25" s="12" t="s">
        <v>81</v>
      </c>
      <c r="K25" s="12" t="s">
        <v>79</v>
      </c>
      <c r="M25" s="57">
        <f>+K24*4.75</f>
        <v>1550875</v>
      </c>
    </row>
    <row r="26" spans="9:13" x14ac:dyDescent="0.25">
      <c r="I26" s="12" t="s">
        <v>80</v>
      </c>
      <c r="M26" s="57">
        <f>+M25/12</f>
        <v>129239.58333333333</v>
      </c>
    </row>
  </sheetData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Act. N° 7</vt:lpstr>
      <vt:lpstr>Juan Perez</vt:lpstr>
      <vt:lpstr>Ximena Soza</vt:lpstr>
      <vt:lpstr>Paulina Soto</vt:lpstr>
      <vt:lpstr>Juan Tenorio</vt:lpstr>
      <vt:lpstr>Indicadores Previsionales</vt:lpstr>
      <vt:lpstr>'Indicadores Previsionales'!Área_de_impresión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Iván</cp:lastModifiedBy>
  <cp:lastPrinted>2020-11-16T10:41:02Z</cp:lastPrinted>
  <dcterms:created xsi:type="dcterms:W3CDTF">2014-04-14T20:25:33Z</dcterms:created>
  <dcterms:modified xsi:type="dcterms:W3CDTF">2020-11-16T11:14:20Z</dcterms:modified>
</cp:coreProperties>
</file>