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hidePivotFieldList="1"/>
  <mc:AlternateContent xmlns:mc="http://schemas.openxmlformats.org/markup-compatibility/2006">
    <mc:Choice Requires="x15">
      <x15ac:absPath xmlns:x15ac="http://schemas.microsoft.com/office/spreadsheetml/2010/11/ac" url="C:\Users\Doris\Desktop\DUOC-MINEDUC\6.AplicacionesInformáticasParaLaGestión Administrativa\Excel\Actividad 13_Tablas\"/>
    </mc:Choice>
  </mc:AlternateContent>
  <xr:revisionPtr revIDLastSave="0" documentId="13_ncr:1_{5658E27E-59A9-4367-A59D-22E4DDF24143}" xr6:coauthVersionLast="45" xr6:coauthVersionMax="45" xr10:uidLastSave="{00000000-0000-0000-0000-000000000000}"/>
  <bookViews>
    <workbookView xWindow="-120" yWindow="-120" windowWidth="20730" windowHeight="11160" tabRatio="700" xr2:uid="{00000000-000D-0000-FFFF-FFFF00000000}"/>
  </bookViews>
  <sheets>
    <sheet name="PRODUCTOS" sheetId="1" r:id="rId1"/>
    <sheet name="DESCUENTO" sheetId="2" r:id="rId2"/>
    <sheet name="US$" sheetId="6" r:id="rId3"/>
    <sheet name="CONSULTA" sheetId="5" r:id="rId4"/>
    <sheet name="RESUMEN" sheetId="4" r:id="rId5"/>
    <sheet name="INFORME" sheetId="7" r:id="rId6"/>
  </sheets>
  <definedNames>
    <definedName name="_xlnm._FilterDatabase" localSheetId="0" hidden="1">PRODUCTOS!$B$5:$J$82</definedName>
    <definedName name="_xlnm.Extract" localSheetId="1">DESCUENTO!$B$2</definedName>
    <definedName name="_xlnm.Extract" localSheetId="5">INFORME!#REF!</definedName>
    <definedName name="_xlnm.Extract" localSheetId="4">RESUMEN!#REF!</definedName>
    <definedName name="CODIGO">PRODUCTOS!$B$6:$B$82</definedName>
    <definedName name="_xlnm.Criteria" localSheetId="5">INFORME!#REF!</definedName>
  </definedNames>
  <calcPr calcId="191029"/>
  <pivotCaches>
    <pivotCache cacheId="25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9" i="1" l="1"/>
  <c r="I61" i="1"/>
  <c r="H7" i="1"/>
  <c r="H8" i="1"/>
  <c r="H9" i="1"/>
  <c r="H10" i="1"/>
  <c r="I10" i="1" s="1"/>
  <c r="J10" i="1" s="1"/>
  <c r="H11" i="1"/>
  <c r="I11" i="1" s="1"/>
  <c r="J11" i="1" s="1"/>
  <c r="H12" i="1"/>
  <c r="H13" i="1"/>
  <c r="I13" i="1" s="1"/>
  <c r="H14" i="1"/>
  <c r="I14" i="1" s="1"/>
  <c r="J14" i="1" s="1"/>
  <c r="H15" i="1"/>
  <c r="I15" i="1" s="1"/>
  <c r="J15" i="1" s="1"/>
  <c r="H16" i="1"/>
  <c r="H17" i="1"/>
  <c r="H18" i="1"/>
  <c r="I18" i="1" s="1"/>
  <c r="J18" i="1" s="1"/>
  <c r="H19" i="1"/>
  <c r="I19" i="1" s="1"/>
  <c r="J19" i="1" s="1"/>
  <c r="H20" i="1"/>
  <c r="H21" i="1"/>
  <c r="I21" i="1" s="1"/>
  <c r="H22" i="1"/>
  <c r="I22" i="1" s="1"/>
  <c r="J22" i="1" s="1"/>
  <c r="H23" i="1"/>
  <c r="I23" i="1" s="1"/>
  <c r="H24" i="1"/>
  <c r="H25" i="1"/>
  <c r="H26" i="1"/>
  <c r="I26" i="1" s="1"/>
  <c r="J26" i="1" s="1"/>
  <c r="H27" i="1"/>
  <c r="I27" i="1" s="1"/>
  <c r="J27" i="1" s="1"/>
  <c r="H28" i="1"/>
  <c r="H29" i="1"/>
  <c r="H30" i="1"/>
  <c r="I30" i="1" s="1"/>
  <c r="J30" i="1" s="1"/>
  <c r="H31" i="1"/>
  <c r="I31" i="1" s="1"/>
  <c r="J31" i="1" s="1"/>
  <c r="H32" i="1"/>
  <c r="H33" i="1"/>
  <c r="H34" i="1"/>
  <c r="I34" i="1" s="1"/>
  <c r="J34" i="1" s="1"/>
  <c r="H35" i="1"/>
  <c r="I35" i="1" s="1"/>
  <c r="J35" i="1" s="1"/>
  <c r="H36" i="1"/>
  <c r="H37" i="1"/>
  <c r="I37" i="1" s="1"/>
  <c r="H38" i="1"/>
  <c r="I38" i="1" s="1"/>
  <c r="J38" i="1" s="1"/>
  <c r="H39" i="1"/>
  <c r="I39" i="1" s="1"/>
  <c r="H40" i="1"/>
  <c r="H41" i="1"/>
  <c r="H42" i="1"/>
  <c r="I42" i="1" s="1"/>
  <c r="J42" i="1" s="1"/>
  <c r="H43" i="1"/>
  <c r="I43" i="1" s="1"/>
  <c r="J43" i="1" s="1"/>
  <c r="H44" i="1"/>
  <c r="H45" i="1"/>
  <c r="I45" i="1" s="1"/>
  <c r="H46" i="1"/>
  <c r="I46" i="1" s="1"/>
  <c r="J46" i="1" s="1"/>
  <c r="H47" i="1"/>
  <c r="I47" i="1" s="1"/>
  <c r="J47" i="1" s="1"/>
  <c r="H48" i="1"/>
  <c r="H49" i="1"/>
  <c r="H50" i="1"/>
  <c r="H51" i="1"/>
  <c r="I51" i="1" s="1"/>
  <c r="H52" i="1"/>
  <c r="H53" i="1"/>
  <c r="I53" i="1" s="1"/>
  <c r="H54" i="1"/>
  <c r="I54" i="1" s="1"/>
  <c r="J54" i="1" s="1"/>
  <c r="H55" i="1"/>
  <c r="I55" i="1" s="1"/>
  <c r="J55" i="1" s="1"/>
  <c r="H56" i="1"/>
  <c r="H57" i="1"/>
  <c r="H58" i="1"/>
  <c r="H59" i="1"/>
  <c r="I59" i="1" s="1"/>
  <c r="H60" i="1"/>
  <c r="H61" i="1"/>
  <c r="H62" i="1"/>
  <c r="I62" i="1" s="1"/>
  <c r="J62" i="1" s="1"/>
  <c r="H63" i="1"/>
  <c r="I63" i="1" s="1"/>
  <c r="J63" i="1" s="1"/>
  <c r="H64" i="1"/>
  <c r="H65" i="1"/>
  <c r="H66" i="1"/>
  <c r="I66" i="1" s="1"/>
  <c r="H67" i="1"/>
  <c r="I67" i="1" s="1"/>
  <c r="H68" i="1"/>
  <c r="H69" i="1"/>
  <c r="I69" i="1" s="1"/>
  <c r="H70" i="1"/>
  <c r="I70" i="1" s="1"/>
  <c r="J70" i="1" s="1"/>
  <c r="H71" i="1"/>
  <c r="I71" i="1" s="1"/>
  <c r="J71" i="1" s="1"/>
  <c r="H72" i="1"/>
  <c r="H73" i="1"/>
  <c r="H74" i="1"/>
  <c r="H75" i="1"/>
  <c r="I75" i="1" s="1"/>
  <c r="H76" i="1"/>
  <c r="H77" i="1"/>
  <c r="I77" i="1" s="1"/>
  <c r="H78" i="1"/>
  <c r="I78" i="1" s="1"/>
  <c r="J78" i="1" s="1"/>
  <c r="H79" i="1"/>
  <c r="I79" i="1" s="1"/>
  <c r="J79" i="1" s="1"/>
  <c r="H80" i="1"/>
  <c r="H81" i="1"/>
  <c r="H82" i="1"/>
  <c r="H6" i="1"/>
  <c r="I6" i="1" s="1"/>
  <c r="J50" i="1" l="1"/>
  <c r="I82" i="1"/>
  <c r="J82" i="1" s="1"/>
  <c r="I50" i="1"/>
  <c r="J6" i="1"/>
  <c r="J67" i="1"/>
  <c r="J51" i="1"/>
  <c r="I58" i="1"/>
  <c r="J58" i="1" s="1"/>
  <c r="J66" i="1"/>
  <c r="J75" i="1"/>
  <c r="J59" i="1"/>
  <c r="J39" i="1"/>
  <c r="I74" i="1"/>
  <c r="J74" i="1" s="1"/>
  <c r="J23" i="1"/>
  <c r="I80" i="1"/>
  <c r="J80" i="1" s="1"/>
  <c r="I72" i="1"/>
  <c r="J72" i="1" s="1"/>
  <c r="I64" i="1"/>
  <c r="J64" i="1" s="1"/>
  <c r="I56" i="1"/>
  <c r="J56" i="1" s="1"/>
  <c r="I44" i="1"/>
  <c r="J44" i="1" s="1"/>
  <c r="I36" i="1"/>
  <c r="J36" i="1" s="1"/>
  <c r="I28" i="1"/>
  <c r="J28" i="1" s="1"/>
  <c r="I20" i="1"/>
  <c r="J20" i="1" s="1"/>
  <c r="I8" i="1"/>
  <c r="J8" i="1" s="1"/>
  <c r="I76" i="1"/>
  <c r="J76" i="1" s="1"/>
  <c r="I68" i="1"/>
  <c r="J68" i="1" s="1"/>
  <c r="I60" i="1"/>
  <c r="J60" i="1" s="1"/>
  <c r="I52" i="1"/>
  <c r="J52" i="1" s="1"/>
  <c r="J48" i="1"/>
  <c r="I48" i="1"/>
  <c r="I40" i="1"/>
  <c r="J40" i="1" s="1"/>
  <c r="J32" i="1"/>
  <c r="I32" i="1"/>
  <c r="I24" i="1"/>
  <c r="J24" i="1" s="1"/>
  <c r="I16" i="1"/>
  <c r="J16" i="1" s="1"/>
  <c r="I12" i="1"/>
  <c r="J12" i="1" s="1"/>
  <c r="J77" i="1"/>
  <c r="J69" i="1"/>
  <c r="J61" i="1"/>
  <c r="J53" i="1"/>
  <c r="J45" i="1"/>
  <c r="J37" i="1"/>
  <c r="J33" i="1"/>
  <c r="J29" i="1"/>
  <c r="J21" i="1"/>
  <c r="J13" i="1"/>
  <c r="I81" i="1"/>
  <c r="J81" i="1" s="1"/>
  <c r="I73" i="1"/>
  <c r="J73" i="1" s="1"/>
  <c r="I65" i="1"/>
  <c r="J65" i="1" s="1"/>
  <c r="I57" i="1"/>
  <c r="J57" i="1" s="1"/>
  <c r="I49" i="1"/>
  <c r="J49" i="1" s="1"/>
  <c r="I41" i="1"/>
  <c r="J41" i="1" s="1"/>
  <c r="I33" i="1"/>
  <c r="I25" i="1"/>
  <c r="J25" i="1" s="1"/>
  <c r="I17" i="1"/>
  <c r="J17" i="1" s="1"/>
  <c r="I9" i="1"/>
  <c r="J9" i="1" s="1"/>
  <c r="I7" i="1"/>
  <c r="J7" i="1" s="1"/>
  <c r="G15" i="5"/>
  <c r="G12" i="5"/>
  <c r="C15" i="5"/>
  <c r="C12" i="5"/>
  <c r="C10" i="5"/>
  <c r="C18" i="5"/>
  <c r="G18" i="5" l="1"/>
  <c r="C21" i="5" l="1"/>
</calcChain>
</file>

<file path=xl/sharedStrings.xml><?xml version="1.0" encoding="utf-8"?>
<sst xmlns="http://schemas.openxmlformats.org/spreadsheetml/2006/main" count="369" uniqueCount="141">
  <si>
    <t>CODIGO</t>
  </si>
  <si>
    <t>NOMBRE DE PRODUCTO</t>
  </si>
  <si>
    <t>PROVEEDOR</t>
  </si>
  <si>
    <t>CATEGORÍA</t>
  </si>
  <si>
    <t>PRECIO US$</t>
  </si>
  <si>
    <t>PAIS ORIGEN</t>
  </si>
  <si>
    <t>KOREA</t>
  </si>
  <si>
    <t>ALEMANIA</t>
  </si>
  <si>
    <t>EE.UU</t>
  </si>
  <si>
    <t>ARGENTINA</t>
  </si>
  <si>
    <t>CHILE</t>
  </si>
  <si>
    <t>CHINA</t>
  </si>
  <si>
    <t>PERU</t>
  </si>
  <si>
    <t>TÉ DHARAMSALA</t>
  </si>
  <si>
    <t>CERVEZA TIBETANA BARLEY</t>
  </si>
  <si>
    <t>SIROPE DE REGALIZ</t>
  </si>
  <si>
    <t>ESPECIAS CAJUN DEL CHEF ANTON</t>
  </si>
  <si>
    <t>MEZCLA GUMBO DEL CHEF ANTON</t>
  </si>
  <si>
    <t>MERMELADA DE GROSELLAS DE LA ABUELA</t>
  </si>
  <si>
    <t>PERAS SECAS ORGÁNICAS DEL TÍO BOB</t>
  </si>
  <si>
    <t>SALSA DE ARÁNDANOS NORTHWOODS</t>
  </si>
  <si>
    <t>BUEY MISHI KOBE</t>
  </si>
  <si>
    <t>PEZ ESPADA</t>
  </si>
  <si>
    <t>QUESO CABRALES</t>
  </si>
  <si>
    <t>QUESO MANCHEGO LA PASTORA</t>
  </si>
  <si>
    <t>ALGAS KONBU</t>
  </si>
  <si>
    <t>CUAJADA DE JUDÍAS</t>
  </si>
  <si>
    <t>SALSA DE SOJA BAJA EN SODIO</t>
  </si>
  <si>
    <t>POSTRE DE MERENGUE PAVLOVA</t>
  </si>
  <si>
    <t>CORDERO ALICE SPRINGS</t>
  </si>
  <si>
    <t>LANGOSTINOS TIGRE CARNARVON</t>
  </si>
  <si>
    <t>PASTAS DE TÉ DE CHOCOLATE</t>
  </si>
  <si>
    <t>MERMELADA DE SIR RODNEY'S</t>
  </si>
  <si>
    <t>BOLLOS DE SIR RODNEY'S</t>
  </si>
  <si>
    <t>PAN DE CENTENO CRUJIENTE ESTILO GUSTAF'S</t>
  </si>
  <si>
    <t>PAN FINO</t>
  </si>
  <si>
    <t>REFRESCO GUARANÁ FANTÁSTICA</t>
  </si>
  <si>
    <t>CREMA DE CHOCOLATE Y NUECES NUNUCA</t>
  </si>
  <si>
    <t>OSITOS DE GOMA GUMBÄR</t>
  </si>
  <si>
    <t>CHOCOLATE SCHOGGI</t>
  </si>
  <si>
    <t>COL FERMENTADA RÖSSLE</t>
  </si>
  <si>
    <t>SALCHICHA THÜRINGER</t>
  </si>
  <si>
    <t>ARENQUE BLANCO DEL NOROESTE</t>
  </si>
  <si>
    <t>QUESO GORGONZOLA TELINO</t>
  </si>
  <si>
    <t>QUESO MASCARPONE FABIOLI</t>
  </si>
  <si>
    <t>QUESO DE CABRA</t>
  </si>
  <si>
    <t>CERVEZA SASQUATCH</t>
  </si>
  <si>
    <t>CERVEZA NEGRA STEELEYE</t>
  </si>
  <si>
    <t>ESCABECHE DE ARENQUE</t>
  </si>
  <si>
    <t>SALMÓN AHUMADO GRAVAD</t>
  </si>
  <si>
    <t>VINO CÔTE DE BLAYE</t>
  </si>
  <si>
    <t>LICOR VERDE CHARTREUSE</t>
  </si>
  <si>
    <t>CARNE DE CANGREJO DE BOSTON</t>
  </si>
  <si>
    <t>CREMA DE ALMEJAS ESTILO NUEVA INGLATERRA</t>
  </si>
  <si>
    <t>TALLARINES DE SINGAPUR</t>
  </si>
  <si>
    <t>CAFÉ DE MALASIA</t>
  </si>
  <si>
    <t>AZÚCAR NEGRA MALACCA</t>
  </si>
  <si>
    <t>ARENQUE AHUMADO</t>
  </si>
  <si>
    <t>ARENQUE SALADO</t>
  </si>
  <si>
    <t>GALLETAS ZAANSE</t>
  </si>
  <si>
    <t>CHOCOLATE HOLANDÉS</t>
  </si>
  <si>
    <t>REGALIZ</t>
  </si>
  <si>
    <t>CHOCOLATE BLANCO</t>
  </si>
  <si>
    <t>MANZANAS SECAS MANJIMUP</t>
  </si>
  <si>
    <t>CEREALES PARA FILO</t>
  </si>
  <si>
    <t>EMPANADA DE CARNE</t>
  </si>
  <si>
    <t>EMPANADA DE CERDO</t>
  </si>
  <si>
    <t>PATÉ CHINO</t>
  </si>
  <si>
    <t>GNOCCHI DE LA ABUELA ALICIA</t>
  </si>
  <si>
    <t>RAVIOLIS ANGELO</t>
  </si>
  <si>
    <t>CARACOLES DE BORGOÑA</t>
  </si>
  <si>
    <t>RACLET DE QUESO COURDAVAULT</t>
  </si>
  <si>
    <t>CAMEMBERT PIERROT</t>
  </si>
  <si>
    <t>SIROPE DE ARCE</t>
  </si>
  <si>
    <t>TARTA DE AZÚCAR</t>
  </si>
  <si>
    <t>SANDWICH DE VEGETALES</t>
  </si>
  <si>
    <t>BOLLOS DE PAN DE WIMMER</t>
  </si>
  <si>
    <t>SALSA DE PIMIENTO PICANTE DE LUISIANA</t>
  </si>
  <si>
    <t>ESPECIAS PICANTES DE LUISIANA</t>
  </si>
  <si>
    <t>CERVEZA LAUGHING LUMBERJACK</t>
  </si>
  <si>
    <t>BARRAS DE PAN DE ESCOCIA</t>
  </si>
  <si>
    <t>QUESO GUDBRANDSDALS</t>
  </si>
  <si>
    <t>CERVEZA OUTBACK</t>
  </si>
  <si>
    <t>CREMA DE QUESO FLØTEMYS</t>
  </si>
  <si>
    <t>QUESO MOZZARELLA GIOVANNI</t>
  </si>
  <si>
    <t>CAVIAR ROJO</t>
  </si>
  <si>
    <t>QUESO DE SOJA LONGLIFE</t>
  </si>
  <si>
    <t>CERVEZA KLOSTERBIER RHÖNBRÄU</t>
  </si>
  <si>
    <t>LICOR CLOUDBERRY</t>
  </si>
  <si>
    <t>SALSA VERDE ORIGINAL FRANKFURTER</t>
  </si>
  <si>
    <t>EXOTIC LIQUIDS</t>
  </si>
  <si>
    <t>NEW ORLEANS CAJUN DELIGHTS</t>
  </si>
  <si>
    <t>GRANDMA KELLY'S HOMESTEAD</t>
  </si>
  <si>
    <t>TOKYO TRADERS</t>
  </si>
  <si>
    <t>COOPERATIVA DE QUESOS 'LAS CABRAS'</t>
  </si>
  <si>
    <t>MAYUMI'S</t>
  </si>
  <si>
    <t>PAVLOVA, LTD.</t>
  </si>
  <si>
    <t>SPECIALTY BISCUITS, LTD.</t>
  </si>
  <si>
    <t>PB KNÄCKEBRÖD AB</t>
  </si>
  <si>
    <t>REFRESCOS AMERICANAS LTDA</t>
  </si>
  <si>
    <t>HELI SÜßWAREN GMBH &amp; CO. KG</t>
  </si>
  <si>
    <t>PLUTZER LEBENSMITTELGROßMÄRKTE AG</t>
  </si>
  <si>
    <t>NORD-OST-FISCH HANDELSGESELLSCHAFT MBH</t>
  </si>
  <si>
    <t>FORMAGGI FORTINI S.R.L.</t>
  </si>
  <si>
    <t>NORSKE MEIERIER</t>
  </si>
  <si>
    <t>BIGFOOT BREWERIES</t>
  </si>
  <si>
    <t>SVENSK SJÖFÖDA AB</t>
  </si>
  <si>
    <t>AUX JOYEUX ECCLÉSIASTIQUES</t>
  </si>
  <si>
    <t>NEW ENGLAND SEAFOOD CANNERY</t>
  </si>
  <si>
    <t>LEKA TRADING</t>
  </si>
  <si>
    <t>LYNGBYSILD</t>
  </si>
  <si>
    <t>ZAANSE SNOEPFABRIEK</t>
  </si>
  <si>
    <t>KARKKI OY</t>
  </si>
  <si>
    <t>G'DAY, MATE</t>
  </si>
  <si>
    <t>MA MAISON</t>
  </si>
  <si>
    <t>PASTA BUTTINI S.R.L.</t>
  </si>
  <si>
    <t>ESCARGOTS NOUVEAUX</t>
  </si>
  <si>
    <t>GAI PÂTURAGE</t>
  </si>
  <si>
    <t>FORÊTS D'ÉRABLES</t>
  </si>
  <si>
    <t>BEBIDAS</t>
  </si>
  <si>
    <t>CONDIMENTOS</t>
  </si>
  <si>
    <t>FRUTAS/VERDURAS</t>
  </si>
  <si>
    <t>CARNES</t>
  </si>
  <si>
    <t>PESCADO/MARISCO</t>
  </si>
  <si>
    <t>LÁCTEOS</t>
  </si>
  <si>
    <t>REPOSTERÍA</t>
  </si>
  <si>
    <t>GRANOS/CEREALES</t>
  </si>
  <si>
    <t>US$</t>
  </si>
  <si>
    <t>%</t>
  </si>
  <si>
    <t>PRECIO $</t>
  </si>
  <si>
    <t>P. VENTA</t>
  </si>
  <si>
    <t>TOTALES</t>
  </si>
  <si>
    <t>% DESCUENTO</t>
  </si>
  <si>
    <t>CONSULTA DE PRODUCTOS</t>
  </si>
  <si>
    <t>DESCUENTO $</t>
  </si>
  <si>
    <t>P. VENTA $</t>
  </si>
  <si>
    <t>Etiquetas de fila</t>
  </si>
  <si>
    <t>Total general</t>
  </si>
  <si>
    <t>Suma de PRECIO US$</t>
  </si>
  <si>
    <t>Suma de PRECIO $</t>
  </si>
  <si>
    <t>(Todas)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</si>
</sst>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5" formatCode="_-* #,##0\ &quot;Pts&quot;_-;\-* #,##0\ &quot;Pts&quot;_-;_-* &quot;-&quot;\ &quot;Pts&quot;_-;_-@_-"/>
    <numFmt numFmtId="166" formatCode="_-[$$-2C0A]* #,##0_ ;_-[$$-2C0A]* \-#,##0\ ;_-[$$-2C0A]* &quot;-&quot;_ ;_-@_ "/>
    <numFmt numFmtId="167" formatCode="0.000"/>
    <numFmt numFmtId="169" formatCode="_ &quot;$&quot;\ * #,##0.00_ ;_ &quot;$&quot;\ * \-#,##0.00_ ;_ &quot;$&quot;\ * &quot;-&quot;_ ;_ @_ "/>
    <numFmt numFmtId="170" formatCode="_ [$$-340A]* #,##0.00_ ;_ [$$-340A]* \-#,##0.00_ ;_ [$$-340A]* &quot;-&quot;??_ ;_ @_ "/>
  </numFmts>
  <fonts count="7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MS Sans Serif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3"/>
        <bgColor indexed="64"/>
      </patternFill>
    </fill>
  </fills>
  <borders count="25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3" fillId="0" borderId="0"/>
  </cellStyleXfs>
  <cellXfs count="49">
    <xf numFmtId="0" fontId="0" fillId="0" borderId="0" xfId="0"/>
    <xf numFmtId="0" fontId="0" fillId="0" borderId="0" xfId="0" applyAlignment="1"/>
    <xf numFmtId="0" fontId="2" fillId="0" borderId="1" xfId="2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3" borderId="6" xfId="2" applyFont="1" applyFill="1" applyBorder="1" applyAlignment="1">
      <alignment horizontal="left"/>
    </xf>
    <xf numFmtId="0" fontId="2" fillId="3" borderId="7" xfId="2" applyFont="1" applyFill="1" applyBorder="1" applyAlignment="1">
      <alignment horizontal="left"/>
    </xf>
    <xf numFmtId="9" fontId="0" fillId="2" borderId="8" xfId="0" applyNumberFormat="1" applyFill="1" applyBorder="1"/>
    <xf numFmtId="9" fontId="0" fillId="2" borderId="9" xfId="0" applyNumberFormat="1" applyFill="1" applyBorder="1"/>
    <xf numFmtId="0" fontId="0" fillId="0" borderId="10" xfId="0" applyBorder="1" applyAlignment="1"/>
    <xf numFmtId="0" fontId="0" fillId="0" borderId="0" xfId="0" applyAlignment="1">
      <alignment horizontal="left"/>
    </xf>
    <xf numFmtId="0" fontId="0" fillId="2" borderId="0" xfId="0" applyFill="1" applyBorder="1" applyAlignment="1">
      <alignment horizontal="left"/>
    </xf>
    <xf numFmtId="0" fontId="0" fillId="2" borderId="0" xfId="0" applyFill="1" applyBorder="1"/>
    <xf numFmtId="0" fontId="5" fillId="2" borderId="0" xfId="2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166" fontId="0" fillId="0" borderId="0" xfId="0" applyNumberFormat="1" applyAlignment="1"/>
    <xf numFmtId="2" fontId="0" fillId="0" borderId="12" xfId="0" applyNumberFormat="1" applyBorder="1" applyAlignment="1"/>
    <xf numFmtId="166" fontId="0" fillId="0" borderId="12" xfId="0" applyNumberFormat="1" applyBorder="1" applyAlignment="1"/>
    <xf numFmtId="166" fontId="0" fillId="0" borderId="13" xfId="0" applyNumberFormat="1" applyBorder="1" applyAlignment="1"/>
    <xf numFmtId="0" fontId="0" fillId="2" borderId="14" xfId="0" applyFill="1" applyBorder="1"/>
    <xf numFmtId="0" fontId="0" fillId="2" borderId="15" xfId="0" applyFill="1" applyBorder="1"/>
    <xf numFmtId="0" fontId="5" fillId="2" borderId="14" xfId="2" applyFont="1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4" fillId="2" borderId="14" xfId="0" applyFont="1" applyFill="1" applyBorder="1" applyAlignment="1">
      <alignment horizontal="left"/>
    </xf>
    <xf numFmtId="0" fontId="0" fillId="2" borderId="16" xfId="0" applyFill="1" applyBorder="1"/>
    <xf numFmtId="0" fontId="0" fillId="2" borderId="17" xfId="0" applyFill="1" applyBorder="1" applyAlignment="1">
      <alignment horizontal="left"/>
    </xf>
    <xf numFmtId="0" fontId="0" fillId="2" borderId="17" xfId="0" applyFill="1" applyBorder="1"/>
    <xf numFmtId="0" fontId="0" fillId="2" borderId="18" xfId="0" applyFill="1" applyBorder="1"/>
    <xf numFmtId="0" fontId="0" fillId="2" borderId="11" xfId="0" applyFill="1" applyBorder="1" applyAlignment="1">
      <alignment horizontal="left"/>
    </xf>
    <xf numFmtId="0" fontId="0" fillId="2" borderId="19" xfId="0" applyFill="1" applyBorder="1" applyAlignment="1">
      <alignment horizontal="left"/>
    </xf>
    <xf numFmtId="0" fontId="0" fillId="2" borderId="20" xfId="0" applyFill="1" applyBorder="1"/>
    <xf numFmtId="0" fontId="0" fillId="2" borderId="20" xfId="0" applyFill="1" applyBorder="1" applyAlignment="1">
      <alignment horizontal="left"/>
    </xf>
    <xf numFmtId="0" fontId="0" fillId="2" borderId="21" xfId="0" applyFill="1" applyBorder="1"/>
    <xf numFmtId="0" fontId="4" fillId="0" borderId="0" xfId="0" applyFont="1" applyFill="1" applyBorder="1" applyAlignment="1">
      <alignment horizontal="center"/>
    </xf>
    <xf numFmtId="2" fontId="0" fillId="2" borderId="19" xfId="0" applyNumberFormat="1" applyFill="1" applyBorder="1" applyAlignment="1">
      <alignment horizontal="left"/>
    </xf>
    <xf numFmtId="167" fontId="0" fillId="2" borderId="19" xfId="0" applyNumberFormat="1" applyFill="1" applyBorder="1" applyAlignment="1">
      <alignment horizontal="left"/>
    </xf>
    <xf numFmtId="0" fontId="0" fillId="0" borderId="0" xfId="0" pivotButton="1"/>
    <xf numFmtId="0" fontId="0" fillId="0" borderId="0" xfId="0" applyNumberFormat="1"/>
    <xf numFmtId="0" fontId="6" fillId="4" borderId="22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center"/>
    </xf>
    <xf numFmtId="0" fontId="6" fillId="4" borderId="24" xfId="0" applyFont="1" applyFill="1" applyBorder="1" applyAlignment="1">
      <alignment horizontal="center"/>
    </xf>
    <xf numFmtId="0" fontId="5" fillId="0" borderId="11" xfId="2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2" fillId="0" borderId="11" xfId="2" applyFont="1" applyFill="1" applyBorder="1" applyAlignment="1">
      <alignment horizontal="right"/>
    </xf>
    <xf numFmtId="0" fontId="2" fillId="0" borderId="11" xfId="2" applyFont="1" applyFill="1" applyBorder="1" applyAlignment="1">
      <alignment horizontal="left"/>
    </xf>
    <xf numFmtId="2" fontId="2" fillId="0" borderId="11" xfId="2" applyNumberFormat="1" applyFont="1" applyFill="1" applyBorder="1" applyAlignment="1">
      <alignment horizontal="right"/>
    </xf>
    <xf numFmtId="169" fontId="0" fillId="2" borderId="3" xfId="1" applyNumberFormat="1" applyFont="1" applyFill="1" applyBorder="1"/>
    <xf numFmtId="170" fontId="0" fillId="0" borderId="11" xfId="1" applyNumberFormat="1" applyFont="1" applyBorder="1" applyAlignment="1"/>
  </cellXfs>
  <cellStyles count="3">
    <cellStyle name="Moneda [0]" xfId="1" builtinId="7"/>
    <cellStyle name="Normal" xfId="0" builtinId="0"/>
    <cellStyle name="Normal_Hoja1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[9_PlanComun_M6_A14_DesarrolloActividadPractica.xlsx]RESUMEN!TablaDinámica5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RESUMEN!$C$4</c:f>
              <c:strCache>
                <c:ptCount val="1"/>
                <c:pt idx="0">
                  <c:v>Suma de PRECIO US$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RESUMEN!$B$5:$B$13</c:f>
              <c:strCache>
                <c:ptCount val="8"/>
                <c:pt idx="0">
                  <c:v>BEBIDAS</c:v>
                </c:pt>
                <c:pt idx="1">
                  <c:v>CARNES</c:v>
                </c:pt>
                <c:pt idx="2">
                  <c:v>CONDIMENTOS</c:v>
                </c:pt>
                <c:pt idx="3">
                  <c:v>FRUTAS/VERDURAS</c:v>
                </c:pt>
                <c:pt idx="4">
                  <c:v>GRANOS/CEREALES</c:v>
                </c:pt>
                <c:pt idx="5">
                  <c:v>LÁCTEOS</c:v>
                </c:pt>
                <c:pt idx="6">
                  <c:v>PESCADO/MARISCO</c:v>
                </c:pt>
                <c:pt idx="7">
                  <c:v>REPOSTERÍA</c:v>
                </c:pt>
              </c:strCache>
            </c:strRef>
          </c:cat>
          <c:val>
            <c:numRef>
              <c:f>RESUMEN!$C$5:$C$13</c:f>
              <c:numCache>
                <c:formatCode>General</c:formatCode>
                <c:ptCount val="8"/>
                <c:pt idx="0">
                  <c:v>49.050000000000004</c:v>
                </c:pt>
                <c:pt idx="1">
                  <c:v>12.33</c:v>
                </c:pt>
                <c:pt idx="2">
                  <c:v>42.129999999999995</c:v>
                </c:pt>
                <c:pt idx="3">
                  <c:v>15.119999999999997</c:v>
                </c:pt>
                <c:pt idx="4">
                  <c:v>34.47</c:v>
                </c:pt>
                <c:pt idx="5">
                  <c:v>42.33</c:v>
                </c:pt>
                <c:pt idx="6">
                  <c:v>43.96</c:v>
                </c:pt>
                <c:pt idx="7">
                  <c:v>102.51999999999998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91-4459-8930-BB4BF51FA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26496959"/>
        <c:axId val="822520207"/>
      </c:barChart>
      <c:lineChart>
        <c:grouping val="standard"/>
        <c:varyColors val="0"/>
        <c:ser>
          <c:idx val="1"/>
          <c:order val="1"/>
          <c:tx>
            <c:strRef>
              <c:f>RESUMEN!$D$4</c:f>
              <c:strCache>
                <c:ptCount val="1"/>
                <c:pt idx="0">
                  <c:v>Suma de PRECIO $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RESUMEN!$B$5:$B$13</c:f>
              <c:strCache>
                <c:ptCount val="8"/>
                <c:pt idx="0">
                  <c:v>BEBIDAS</c:v>
                </c:pt>
                <c:pt idx="1">
                  <c:v>CARNES</c:v>
                </c:pt>
                <c:pt idx="2">
                  <c:v>CONDIMENTOS</c:v>
                </c:pt>
                <c:pt idx="3">
                  <c:v>FRUTAS/VERDURAS</c:v>
                </c:pt>
                <c:pt idx="4">
                  <c:v>GRANOS/CEREALES</c:v>
                </c:pt>
                <c:pt idx="5">
                  <c:v>LÁCTEOS</c:v>
                </c:pt>
                <c:pt idx="6">
                  <c:v>PESCADO/MARISCO</c:v>
                </c:pt>
                <c:pt idx="7">
                  <c:v>REPOSTERÍA</c:v>
                </c:pt>
              </c:strCache>
            </c:strRef>
          </c:cat>
          <c:val>
            <c:numRef>
              <c:f>RESUMEN!$D$5:$D$13</c:f>
              <c:numCache>
                <c:formatCode>General</c:formatCode>
                <c:ptCount val="8"/>
                <c:pt idx="0">
                  <c:v>34335</c:v>
                </c:pt>
                <c:pt idx="1">
                  <c:v>8631</c:v>
                </c:pt>
                <c:pt idx="2">
                  <c:v>29491</c:v>
                </c:pt>
                <c:pt idx="3">
                  <c:v>10584</c:v>
                </c:pt>
                <c:pt idx="4">
                  <c:v>24129</c:v>
                </c:pt>
                <c:pt idx="5">
                  <c:v>29631</c:v>
                </c:pt>
                <c:pt idx="6">
                  <c:v>30772</c:v>
                </c:pt>
                <c:pt idx="7">
                  <c:v>71764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91-4459-8930-BB4BF51FA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5530623"/>
        <c:axId val="822515631"/>
      </c:lineChart>
      <c:catAx>
        <c:axId val="17755306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822515631"/>
        <c:crosses val="autoZero"/>
        <c:auto val="1"/>
        <c:lblAlgn val="ctr"/>
        <c:lblOffset val="100"/>
        <c:noMultiLvlLbl val="0"/>
      </c:catAx>
      <c:valAx>
        <c:axId val="822515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75530623"/>
        <c:crosses val="autoZero"/>
        <c:crossBetween val="between"/>
      </c:valAx>
      <c:valAx>
        <c:axId val="822520207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926496959"/>
        <c:crosses val="max"/>
        <c:crossBetween val="between"/>
      </c:valAx>
      <c:catAx>
        <c:axId val="19264969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2520207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327163</xdr:colOff>
      <xdr:row>1</xdr:row>
      <xdr:rowOff>61291</xdr:rowOff>
    </xdr:from>
    <xdr:to>
      <xdr:col>6</xdr:col>
      <xdr:colOff>2232163</xdr:colOff>
      <xdr:row>17</xdr:row>
      <xdr:rowOff>154056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6E4BF83-78BE-4505-9763-F3BE78952A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dro Vidal J" refreshedDate="44090.850754398147" createdVersion="6" refreshedVersion="6" minRefreshableVersion="3" recordCount="77" xr:uid="{FE050EC2-D12F-42E9-83EF-3D1DB2ADD49B}">
  <cacheSource type="worksheet">
    <worksheetSource ref="B5:J82" sheet="PRODUCTOS"/>
  </cacheSource>
  <cacheFields count="9">
    <cacheField name="CODIGO" numFmtId="0">
      <sharedItems containsSemiMixedTypes="0" containsString="0" containsNumber="1" containsInteger="1" minValue="1" maxValue="77"/>
    </cacheField>
    <cacheField name="NOMBRE DE PRODUCTO" numFmtId="0">
      <sharedItems/>
    </cacheField>
    <cacheField name="PROVEEDOR" numFmtId="0">
      <sharedItems count="29">
        <s v="EXOTIC LIQUIDS"/>
        <s v="NEW ORLEANS CAJUN DELIGHTS"/>
        <s v="GRANDMA KELLY'S HOMESTEAD"/>
        <s v="TOKYO TRADERS"/>
        <s v="COOPERATIVA DE QUESOS 'LAS CABRAS'"/>
        <s v="MAYUMI'S"/>
        <s v="PAVLOVA, LTD."/>
        <s v="SPECIALTY BISCUITS, LTD."/>
        <s v="PB KNÄCKEBRÖD AB"/>
        <s v="REFRESCOS AMERICANAS LTDA"/>
        <s v="HELI SÜßWAREN GMBH &amp; CO. KG"/>
        <s v="PLUTZER LEBENSMITTELGROßMÄRKTE AG"/>
        <s v="NORD-OST-FISCH HANDELSGESELLSCHAFT MBH"/>
        <s v="FORMAGGI FORTINI S.R.L."/>
        <s v="NORSKE MEIERIER"/>
        <s v="BIGFOOT BREWERIES"/>
        <s v="SVENSK SJÖFÖDA AB"/>
        <s v="AUX JOYEUX ECCLÉSIASTIQUES"/>
        <s v="NEW ENGLAND SEAFOOD CANNERY"/>
        <s v="LEKA TRADING"/>
        <s v="LYNGBYSILD"/>
        <s v="ZAANSE SNOEPFABRIEK"/>
        <s v="KARKKI OY"/>
        <s v="G'DAY, MATE"/>
        <s v="MA MAISON"/>
        <s v="PASTA BUTTINI S.R.L."/>
        <s v="ESCARGOTS NOUVEAUX"/>
        <s v="GAI PÂTURAGE"/>
        <s v="FORÊTS D'ÉRABLES"/>
      </sharedItems>
    </cacheField>
    <cacheField name="CATEGORÍA" numFmtId="0">
      <sharedItems count="8">
        <s v="BEBIDAS"/>
        <s v="CONDIMENTOS"/>
        <s v="FRUTAS/VERDURAS"/>
        <s v="CARNES"/>
        <s v="PESCADO/MARISCO"/>
        <s v="LÁCTEOS"/>
        <s v="REPOSTERÍA"/>
        <s v="GRANOS/CEREALES"/>
      </sharedItems>
    </cacheField>
    <cacheField name="PAIS ORIGEN" numFmtId="0">
      <sharedItems/>
    </cacheField>
    <cacheField name="PRECIO US$" numFmtId="2">
      <sharedItems containsSemiMixedTypes="0" containsString="0" containsNumber="1" minValue="0.38" maxValue="40.54"/>
    </cacheField>
    <cacheField name="PRECIO $" numFmtId="0">
      <sharedItems containsSemiMixedTypes="0" containsString="0" containsNumber="1" containsInteger="1" minValue="266" maxValue="28378"/>
    </cacheField>
    <cacheField name="DESCUENTO $" numFmtId="0">
      <sharedItems containsSemiMixedTypes="0" containsString="0" containsNumber="1" minValue="7.9799999999999995" maxValue="2837.8"/>
    </cacheField>
    <cacheField name="P. VENTA $" numFmtId="0">
      <sharedItems containsSemiMixedTypes="0" containsString="0" containsNumber="1" minValue="258.02" maxValue="25540.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7">
  <r>
    <n v="1"/>
    <s v="TÉ DHARAMSALA"/>
    <x v="0"/>
    <x v="0"/>
    <s v="KOREA"/>
    <n v="5.23"/>
    <n v="3661"/>
    <n v="109.83"/>
    <n v="3551.17"/>
  </r>
  <r>
    <n v="2"/>
    <s v="CERVEZA TIBETANA BARLEY"/>
    <x v="0"/>
    <x v="0"/>
    <s v="ALEMANIA"/>
    <n v="5.12"/>
    <n v="3584"/>
    <n v="179.20000000000002"/>
    <n v="3404.8"/>
  </r>
  <r>
    <n v="3"/>
    <s v="SIROPE DE REGALIZ"/>
    <x v="0"/>
    <x v="1"/>
    <s v="PERU"/>
    <n v="3.58"/>
    <n v="2506"/>
    <n v="50.120000000000005"/>
    <n v="2455.88"/>
  </r>
  <r>
    <n v="4"/>
    <s v="ESPECIAS CAJUN DEL CHEF ANTON"/>
    <x v="1"/>
    <x v="1"/>
    <s v="CHILE"/>
    <n v="2.15"/>
    <n v="1505"/>
    <n v="150.5"/>
    <n v="1354.5"/>
  </r>
  <r>
    <n v="5"/>
    <s v="MEZCLA GUMBO DEL CHEF ANTON"/>
    <x v="1"/>
    <x v="1"/>
    <s v="ALEMANIA"/>
    <n v="1.96"/>
    <n v="1372"/>
    <n v="68.600000000000009"/>
    <n v="1303.4000000000001"/>
  </r>
  <r>
    <n v="6"/>
    <s v="MERMELADA DE GROSELLAS DE LA ABUELA"/>
    <x v="2"/>
    <x v="1"/>
    <s v="PERU"/>
    <n v="2.5"/>
    <n v="1750"/>
    <n v="35"/>
    <n v="1715"/>
  </r>
  <r>
    <n v="7"/>
    <s v="PERAS SECAS ORGÁNICAS DEL TÍO BOB"/>
    <x v="2"/>
    <x v="2"/>
    <s v="ARGENTINA"/>
    <n v="3.38"/>
    <n v="2366"/>
    <n v="165.62"/>
    <n v="2200.38"/>
  </r>
  <r>
    <n v="8"/>
    <s v="SALSA DE ARÁNDANOS NORTHWOODS"/>
    <x v="2"/>
    <x v="1"/>
    <s v="EE.UU"/>
    <n v="6.75"/>
    <n v="4725"/>
    <n v="378"/>
    <n v="4347"/>
  </r>
  <r>
    <n v="9"/>
    <s v="BUEY MISHI KOBE"/>
    <x v="3"/>
    <x v="3"/>
    <s v="ARGENTINA"/>
    <n v="2.83"/>
    <n v="1981"/>
    <n v="138.67000000000002"/>
    <n v="1842.33"/>
  </r>
  <r>
    <n v="10"/>
    <s v="PEZ ESPADA"/>
    <x v="3"/>
    <x v="4"/>
    <s v="ALEMANIA"/>
    <n v="0.69"/>
    <n v="483"/>
    <n v="24.150000000000002"/>
    <n v="458.85"/>
  </r>
  <r>
    <n v="11"/>
    <s v="QUESO CABRALES"/>
    <x v="4"/>
    <x v="5"/>
    <s v="CHILE"/>
    <n v="4.8"/>
    <n v="3360"/>
    <n v="336"/>
    <n v="3024"/>
  </r>
  <r>
    <n v="12"/>
    <s v="QUESO MANCHEGO LA PASTORA"/>
    <x v="4"/>
    <x v="5"/>
    <s v="ARGENTINA"/>
    <n v="3.69"/>
    <n v="2583"/>
    <n v="180.81000000000003"/>
    <n v="2402.19"/>
  </r>
  <r>
    <n v="13"/>
    <s v="ALGAS KONBU"/>
    <x v="5"/>
    <x v="4"/>
    <s v="KOREA"/>
    <n v="3.23"/>
    <n v="2261"/>
    <n v="67.83"/>
    <n v="2193.17"/>
  </r>
  <r>
    <n v="14"/>
    <s v="CUAJADA DE JUDÍAS"/>
    <x v="5"/>
    <x v="2"/>
    <s v="CHINA"/>
    <n v="1.1499999999999999"/>
    <n v="805"/>
    <n v="80.5"/>
    <n v="724.5"/>
  </r>
  <r>
    <n v="15"/>
    <s v="SALSA DE SOJA BAJA EN SODIO"/>
    <x v="5"/>
    <x v="1"/>
    <s v="PERU"/>
    <n v="6"/>
    <n v="4200"/>
    <n v="84"/>
    <n v="4116"/>
  </r>
  <r>
    <n v="16"/>
    <s v="POSTRE DE MERENGUE PAVLOVA"/>
    <x v="6"/>
    <x v="6"/>
    <s v="CHILE"/>
    <n v="7.58"/>
    <n v="5306"/>
    <n v="530.6"/>
    <n v="4775.3999999999996"/>
  </r>
  <r>
    <n v="17"/>
    <s v="CORDERO ALICE SPRINGS"/>
    <x v="6"/>
    <x v="3"/>
    <s v="ARGENTINA"/>
    <n v="2.31"/>
    <n v="1617"/>
    <n v="113.19000000000001"/>
    <n v="1503.81"/>
  </r>
  <r>
    <n v="18"/>
    <s v="LANGOSTINOS TIGRE CARNARVON"/>
    <x v="6"/>
    <x v="4"/>
    <s v="ARGENTINA"/>
    <n v="3"/>
    <n v="2100"/>
    <n v="147"/>
    <n v="1953"/>
  </r>
  <r>
    <n v="19"/>
    <s v="PASTAS DE TÉ DE CHOCOLATE"/>
    <x v="7"/>
    <x v="6"/>
    <s v="CHINA"/>
    <n v="2.15"/>
    <n v="1505"/>
    <n v="150.5"/>
    <n v="1354.5"/>
  </r>
  <r>
    <n v="20"/>
    <s v="MERMELADA DE SIR RODNEY'S"/>
    <x v="7"/>
    <x v="6"/>
    <s v="KOREA"/>
    <n v="4.38"/>
    <n v="3066"/>
    <n v="91.97999999999999"/>
    <n v="2974.02"/>
  </r>
  <r>
    <n v="21"/>
    <s v="BOLLOS DE SIR RODNEY'S"/>
    <x v="7"/>
    <x v="6"/>
    <s v="EE.UU"/>
    <n v="4"/>
    <n v="2800"/>
    <n v="224"/>
    <n v="2576"/>
  </r>
  <r>
    <n v="22"/>
    <s v="PAN DE CENTENO CRUJIENTE ESTILO GUSTAF'S"/>
    <x v="8"/>
    <x v="7"/>
    <s v="ALEMANIA"/>
    <n v="2.77"/>
    <n v="1939"/>
    <n v="96.95"/>
    <n v="1842.05"/>
  </r>
  <r>
    <n v="23"/>
    <s v="PAN FINO"/>
    <x v="8"/>
    <x v="7"/>
    <s v="ARGENTINA"/>
    <n v="2.77"/>
    <n v="1939"/>
    <n v="135.73000000000002"/>
    <n v="1803.27"/>
  </r>
  <r>
    <n v="24"/>
    <s v="REFRESCO GUARANÁ FANTÁSTICA"/>
    <x v="9"/>
    <x v="0"/>
    <s v="EE.UU"/>
    <n v="7.08"/>
    <n v="4956"/>
    <n v="396.48"/>
    <n v="4559.5200000000004"/>
  </r>
  <r>
    <n v="25"/>
    <s v="CREMA DE CHOCOLATE Y NUECES NUNUCA"/>
    <x v="10"/>
    <x v="6"/>
    <s v="ALEMANIA"/>
    <n v="2"/>
    <n v="1400"/>
    <n v="70"/>
    <n v="1330"/>
  </r>
  <r>
    <n v="26"/>
    <s v="OSITOS DE GOMA GUMBÄR"/>
    <x v="10"/>
    <x v="6"/>
    <s v="CHINA"/>
    <n v="1.54"/>
    <n v="1078"/>
    <n v="107.80000000000001"/>
    <n v="970.2"/>
  </r>
  <r>
    <n v="27"/>
    <s v="CHOCOLATE SCHOGGI"/>
    <x v="10"/>
    <x v="6"/>
    <s v="ALEMANIA"/>
    <n v="2.38"/>
    <n v="1666"/>
    <n v="83.300000000000011"/>
    <n v="1582.7"/>
  </r>
  <r>
    <n v="28"/>
    <s v="COL FERMENTADA RÖSSLE"/>
    <x v="11"/>
    <x v="2"/>
    <s v="ARGENTINA"/>
    <n v="5.05"/>
    <n v="3535"/>
    <n v="247.45000000000002"/>
    <n v="3287.55"/>
  </r>
  <r>
    <n v="29"/>
    <s v="SALCHICHA THÜRINGER"/>
    <x v="11"/>
    <x v="3"/>
    <s v="CHINA"/>
    <n v="2.77"/>
    <n v="1939"/>
    <n v="193.9"/>
    <n v="1745.1"/>
  </r>
  <r>
    <n v="30"/>
    <s v="ARENQUE BLANCO DEL NOROESTE"/>
    <x v="12"/>
    <x v="4"/>
    <s v="KOREA"/>
    <n v="1.54"/>
    <n v="1078"/>
    <n v="32.339999999999996"/>
    <n v="1045.6600000000001"/>
  </r>
  <r>
    <n v="31"/>
    <s v="QUESO GORGONZOLA TELINO"/>
    <x v="13"/>
    <x v="5"/>
    <s v="ARGENTINA"/>
    <n v="1.38"/>
    <n v="966"/>
    <n v="67.62"/>
    <n v="898.38"/>
  </r>
  <r>
    <n v="32"/>
    <s v="QUESO MASCARPONE FABIOLI"/>
    <x v="13"/>
    <x v="5"/>
    <s v="KOREA"/>
    <n v="4.62"/>
    <n v="3234"/>
    <n v="97.02"/>
    <n v="3136.98"/>
  </r>
  <r>
    <n v="33"/>
    <s v="QUESO DE CABRA"/>
    <x v="14"/>
    <x v="5"/>
    <s v="ALEMANIA"/>
    <n v="3.23"/>
    <n v="2261"/>
    <n v="113.05000000000001"/>
    <n v="2147.9499999999998"/>
  </r>
  <r>
    <n v="34"/>
    <s v="CERVEZA SASQUATCH"/>
    <x v="15"/>
    <x v="0"/>
    <s v="ALEMANIA"/>
    <n v="1.92"/>
    <n v="1344"/>
    <n v="67.2"/>
    <n v="1276.8"/>
  </r>
  <r>
    <n v="35"/>
    <s v="CERVEZA NEGRA STEELEYE"/>
    <x v="15"/>
    <x v="0"/>
    <s v="ALEMANIA"/>
    <n v="1.85"/>
    <n v="1295"/>
    <n v="64.75"/>
    <n v="1230.25"/>
  </r>
  <r>
    <n v="36"/>
    <s v="ESCABECHE DE ARENQUE"/>
    <x v="16"/>
    <x v="4"/>
    <s v="ARGENTINA"/>
    <n v="8.4600000000000009"/>
    <n v="5922"/>
    <n v="414.54"/>
    <n v="5507.46"/>
  </r>
  <r>
    <n v="37"/>
    <s v="SALMÓN AHUMADO GRAVAD"/>
    <x v="16"/>
    <x v="4"/>
    <s v="ALEMANIA"/>
    <n v="3.08"/>
    <n v="2156"/>
    <n v="107.80000000000001"/>
    <n v="2048.1999999999998"/>
  </r>
  <r>
    <n v="38"/>
    <s v="VINO CÔTE DE BLAYE"/>
    <x v="17"/>
    <x v="0"/>
    <s v="KOREA"/>
    <n v="2.04"/>
    <n v="1428"/>
    <n v="42.839999999999996"/>
    <n v="1385.16"/>
  </r>
  <r>
    <n v="39"/>
    <s v="LICOR VERDE CHARTREUSE"/>
    <x v="17"/>
    <x v="0"/>
    <s v="EE.UU"/>
    <n v="14.92"/>
    <n v="10444"/>
    <n v="835.52"/>
    <n v="9608.48"/>
  </r>
  <r>
    <n v="40"/>
    <s v="CARNE DE CANGREJO DE BOSTON"/>
    <x v="18"/>
    <x v="4"/>
    <s v="CHINA"/>
    <n v="5.85"/>
    <n v="4095"/>
    <n v="409.5"/>
    <n v="3685.5"/>
  </r>
  <r>
    <n v="41"/>
    <s v="CREMA DE ALMEJAS ESTILO NUEVA INGLATERRA"/>
    <x v="18"/>
    <x v="4"/>
    <s v="CHILE"/>
    <n v="5.35"/>
    <n v="3745"/>
    <n v="374.5"/>
    <n v="3370.5"/>
  </r>
  <r>
    <n v="42"/>
    <s v="TALLARINES DE SINGAPUR"/>
    <x v="19"/>
    <x v="7"/>
    <s v="CHILE"/>
    <n v="3.85"/>
    <n v="2695"/>
    <n v="269.5"/>
    <n v="2425.5"/>
  </r>
  <r>
    <n v="43"/>
    <s v="CAFÉ DE MALASIA"/>
    <x v="19"/>
    <x v="0"/>
    <s v="KOREA"/>
    <n v="0.92"/>
    <n v="644"/>
    <n v="19.32"/>
    <n v="624.67999999999995"/>
  </r>
  <r>
    <n v="44"/>
    <s v="AZÚCAR NEGRA MALACCA"/>
    <x v="19"/>
    <x v="1"/>
    <s v="PERU"/>
    <n v="2.31"/>
    <n v="1617"/>
    <n v="32.340000000000003"/>
    <n v="1584.66"/>
  </r>
  <r>
    <n v="45"/>
    <s v="ARENQUE AHUMADO"/>
    <x v="20"/>
    <x v="4"/>
    <s v="KOREA"/>
    <n v="0.38"/>
    <n v="266"/>
    <n v="7.9799999999999995"/>
    <n v="258.02"/>
  </r>
  <r>
    <n v="46"/>
    <s v="ARENQUE SALADO"/>
    <x v="20"/>
    <x v="4"/>
    <s v="CHINA"/>
    <n v="1.92"/>
    <n v="1344"/>
    <n v="134.4"/>
    <n v="1209.5999999999999"/>
  </r>
  <r>
    <n v="47"/>
    <s v="GALLETAS ZAANSE"/>
    <x v="21"/>
    <x v="6"/>
    <s v="KOREA"/>
    <n v="6.75"/>
    <n v="4725"/>
    <n v="141.75"/>
    <n v="4583.25"/>
  </r>
  <r>
    <n v="48"/>
    <s v="CHOCOLATE HOLANDÉS"/>
    <x v="21"/>
    <x v="6"/>
    <s v="EE.UU"/>
    <n v="3.24"/>
    <n v="2268"/>
    <n v="181.44"/>
    <n v="2086.56"/>
  </r>
  <r>
    <n v="49"/>
    <s v="REGALIZ"/>
    <x v="22"/>
    <x v="6"/>
    <s v="CHILE"/>
    <n v="2.77"/>
    <n v="1939"/>
    <n v="193.9"/>
    <n v="1745.1"/>
  </r>
  <r>
    <n v="50"/>
    <s v="CHOCOLATE BLANCO"/>
    <x v="22"/>
    <x v="6"/>
    <s v="EE.UU"/>
    <n v="6.15"/>
    <n v="4305"/>
    <n v="344.40000000000003"/>
    <n v="3960.6"/>
  </r>
  <r>
    <n v="51"/>
    <s v="MANZANAS SECAS MANJIMUP"/>
    <x v="23"/>
    <x v="2"/>
    <s v="ALEMANIA"/>
    <n v="2.92"/>
    <n v="2044"/>
    <n v="102.2"/>
    <n v="1941.8"/>
  </r>
  <r>
    <n v="52"/>
    <s v="CEREALES PARA FILO"/>
    <x v="23"/>
    <x v="7"/>
    <s v="KOREA"/>
    <n v="5.85"/>
    <n v="4095"/>
    <n v="122.85"/>
    <n v="3972.15"/>
  </r>
  <r>
    <n v="53"/>
    <s v="EMPANADA DE CARNE"/>
    <x v="23"/>
    <x v="3"/>
    <s v="CHILE"/>
    <n v="1.08"/>
    <n v="756"/>
    <n v="75.600000000000009"/>
    <n v="680.4"/>
  </r>
  <r>
    <n v="54"/>
    <s v="EMPANADA DE CERDO"/>
    <x v="24"/>
    <x v="3"/>
    <s v="CHILE"/>
    <n v="1.19"/>
    <n v="833"/>
    <n v="83.300000000000011"/>
    <n v="749.7"/>
  </r>
  <r>
    <n v="55"/>
    <s v="PATÉ CHINO"/>
    <x v="24"/>
    <x v="3"/>
    <s v="CHINA"/>
    <n v="2.15"/>
    <n v="1505"/>
    <n v="150.5"/>
    <n v="1354.5"/>
  </r>
  <r>
    <n v="56"/>
    <s v="GNOCCHI DE LA ABUELA ALICIA"/>
    <x v="25"/>
    <x v="7"/>
    <s v="CHINA"/>
    <n v="9.6199999999999992"/>
    <n v="6734"/>
    <n v="673.40000000000009"/>
    <n v="6060.6"/>
  </r>
  <r>
    <n v="57"/>
    <s v="RAVIOLIS ANGELO"/>
    <x v="25"/>
    <x v="7"/>
    <s v="CHILE"/>
    <n v="8.15"/>
    <n v="5705"/>
    <n v="570.5"/>
    <n v="5134.5"/>
  </r>
  <r>
    <n v="58"/>
    <s v="CARACOLES DE BORGOÑA"/>
    <x v="26"/>
    <x v="4"/>
    <s v="CHINA"/>
    <n v="5.54"/>
    <n v="3878"/>
    <n v="387.8"/>
    <n v="3490.2"/>
  </r>
  <r>
    <n v="59"/>
    <s v="RACLET DE QUESO COURDAVAULT"/>
    <x v="27"/>
    <x v="5"/>
    <s v="ALEMANIA"/>
    <n v="2.68"/>
    <n v="1876"/>
    <n v="93.800000000000011"/>
    <n v="1782.2"/>
  </r>
  <r>
    <n v="60"/>
    <s v="CAMEMBERT PIERROT"/>
    <x v="27"/>
    <x v="5"/>
    <s v="CHILE"/>
    <n v="12.46"/>
    <n v="8722"/>
    <n v="872.2"/>
    <n v="7849.8"/>
  </r>
  <r>
    <n v="61"/>
    <s v="SIROPE DE ARCE"/>
    <x v="28"/>
    <x v="1"/>
    <s v="CHINA"/>
    <n v="3.31"/>
    <n v="2317"/>
    <n v="231.70000000000002"/>
    <n v="2085.3000000000002"/>
  </r>
  <r>
    <n v="62"/>
    <s v="TARTA DE AZÚCAR"/>
    <x v="28"/>
    <x v="6"/>
    <s v="CHILE"/>
    <n v="40.54"/>
    <n v="28378"/>
    <n v="2837.8"/>
    <n v="25540.2"/>
  </r>
  <r>
    <n v="63"/>
    <s v="SANDWICH DE VEGETALES"/>
    <x v="6"/>
    <x v="1"/>
    <s v="EE.UU"/>
    <n v="2.15"/>
    <n v="1505"/>
    <n v="120.4"/>
    <n v="1384.6"/>
  </r>
  <r>
    <n v="64"/>
    <s v="BOLLOS DE PAN DE WIMMER"/>
    <x v="11"/>
    <x v="7"/>
    <s v="KOREA"/>
    <n v="1.46"/>
    <n v="1022"/>
    <n v="30.66"/>
    <n v="991.34"/>
  </r>
  <r>
    <n v="65"/>
    <s v="SALSA DE PIMIENTO PICANTE DE LUISIANA"/>
    <x v="1"/>
    <x v="1"/>
    <s v="CHILE"/>
    <n v="7.02"/>
    <n v="4914"/>
    <n v="491.40000000000003"/>
    <n v="4422.6000000000004"/>
  </r>
  <r>
    <n v="66"/>
    <s v="ESPECIAS PICANTES DE LUISIANA"/>
    <x v="1"/>
    <x v="1"/>
    <s v="CHILE"/>
    <n v="2.92"/>
    <n v="2044"/>
    <n v="204.4"/>
    <n v="1839.6"/>
  </r>
  <r>
    <n v="67"/>
    <s v="CERVEZA LAUGHING LUMBERJACK"/>
    <x v="15"/>
    <x v="0"/>
    <s v="ALEMANIA"/>
    <n v="3.98"/>
    <n v="2786"/>
    <n v="139.30000000000001"/>
    <n v="2646.7"/>
  </r>
  <r>
    <n v="68"/>
    <s v="BARRAS DE PAN DE ESCOCIA"/>
    <x v="7"/>
    <x v="6"/>
    <s v="EE.UU"/>
    <n v="19.04"/>
    <n v="13328"/>
    <n v="1066.24"/>
    <n v="12261.76"/>
  </r>
  <r>
    <n v="69"/>
    <s v="QUESO GUDBRANDSDALS"/>
    <x v="14"/>
    <x v="5"/>
    <s v="ALEMANIA"/>
    <n v="1.42"/>
    <n v="994"/>
    <n v="49.7"/>
    <n v="944.3"/>
  </r>
  <r>
    <n v="70"/>
    <s v="CERVEZA OUTBACK"/>
    <x v="6"/>
    <x v="0"/>
    <s v="ALEMANIA"/>
    <n v="2.99"/>
    <n v="2093"/>
    <n v="104.65"/>
    <n v="1988.35"/>
  </r>
  <r>
    <n v="71"/>
    <s v="CREMA DE QUESO FLØTEMYS"/>
    <x v="14"/>
    <x v="5"/>
    <s v="CHILE"/>
    <n v="3.28"/>
    <n v="2296"/>
    <n v="229.60000000000002"/>
    <n v="2066.4"/>
  </r>
  <r>
    <n v="72"/>
    <s v="QUESO MOZZARELLA GIOVANNI"/>
    <x v="13"/>
    <x v="5"/>
    <s v="CHINA"/>
    <n v="4.7699999999999996"/>
    <n v="3339"/>
    <n v="333.90000000000003"/>
    <n v="3005.1"/>
  </r>
  <r>
    <n v="73"/>
    <s v="CAVIAR ROJO"/>
    <x v="16"/>
    <x v="4"/>
    <s v="CHILE"/>
    <n v="4.92"/>
    <n v="3444"/>
    <n v="344.40000000000003"/>
    <n v="3099.6"/>
  </r>
  <r>
    <n v="74"/>
    <s v="QUESO DE SOJA LONGLIFE"/>
    <x v="3"/>
    <x v="2"/>
    <s v="PERU"/>
    <n v="2.62"/>
    <n v="1834"/>
    <n v="36.68"/>
    <n v="1797.32"/>
  </r>
  <r>
    <n v="75"/>
    <s v="CERVEZA KLOSTERBIER RHÖNBRÄU"/>
    <x v="11"/>
    <x v="0"/>
    <s v="ALEMANIA"/>
    <n v="1.46"/>
    <n v="1022"/>
    <n v="51.1"/>
    <n v="970.9"/>
  </r>
  <r>
    <n v="76"/>
    <s v="LICOR CLOUDBERRY"/>
    <x v="22"/>
    <x v="0"/>
    <s v="EE.UU"/>
    <n v="1.54"/>
    <n v="1078"/>
    <n v="86.24"/>
    <n v="991.76"/>
  </r>
  <r>
    <n v="77"/>
    <s v="SALSA VERDE ORIGINAL FRANKFURTER"/>
    <x v="11"/>
    <x v="1"/>
    <s v="ALEMANIA"/>
    <n v="1.48"/>
    <n v="1036"/>
    <n v="51.800000000000004"/>
    <n v="984.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1F24D10-DEDD-4079-BA3C-F090BC109130}" name="TablaDinámica5" cacheId="25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1">
  <location ref="B4:D13" firstHeaderRow="0" firstDataRow="1" firstDataCol="1" rowPageCount="1" colPageCount="1"/>
  <pivotFields count="9">
    <pivotField showAll="0"/>
    <pivotField showAll="0"/>
    <pivotField axis="axisPage" showAll="0">
      <items count="30">
        <item x="17"/>
        <item x="15"/>
        <item x="4"/>
        <item x="26"/>
        <item x="0"/>
        <item x="28"/>
        <item x="13"/>
        <item x="27"/>
        <item x="23"/>
        <item x="2"/>
        <item x="10"/>
        <item x="22"/>
        <item x="19"/>
        <item x="20"/>
        <item x="24"/>
        <item x="5"/>
        <item x="18"/>
        <item x="1"/>
        <item x="12"/>
        <item x="14"/>
        <item x="25"/>
        <item x="6"/>
        <item x="8"/>
        <item x="11"/>
        <item x="9"/>
        <item x="7"/>
        <item x="16"/>
        <item x="3"/>
        <item x="21"/>
        <item t="default"/>
      </items>
    </pivotField>
    <pivotField axis="axisRow" showAll="0">
      <items count="9">
        <item x="0"/>
        <item x="3"/>
        <item x="1"/>
        <item x="2"/>
        <item x="7"/>
        <item x="5"/>
        <item x="4"/>
        <item x="6"/>
        <item t="default"/>
      </items>
    </pivotField>
    <pivotField showAll="0"/>
    <pivotField dataField="1" numFmtId="2" showAll="0"/>
    <pivotField dataField="1" showAll="0"/>
    <pivotField showAll="0"/>
    <pivotField showAll="0"/>
  </pivotFields>
  <rowFields count="1">
    <field x="3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-2"/>
  </colFields>
  <colItems count="2">
    <i>
      <x/>
    </i>
    <i i="1">
      <x v="1"/>
    </i>
  </colItems>
  <pageFields count="1">
    <pageField fld="2" hier="-1"/>
  </pageFields>
  <dataFields count="2">
    <dataField name="Suma de PRECIO US$" fld="5" baseField="0" baseItem="0"/>
    <dataField name="Suma de PRECIO $" fld="6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B5:J84"/>
  <sheetViews>
    <sheetView showGridLines="0" tabSelected="1" zoomScale="85" zoomScaleNormal="85" workbookViewId="0">
      <selection activeCell="E86" sqref="E86"/>
    </sheetView>
  </sheetViews>
  <sheetFormatPr baseColWidth="10" defaultRowHeight="12.75" x14ac:dyDescent="0.2"/>
  <cols>
    <col min="1" max="1" width="11.42578125" style="1"/>
    <col min="2" max="2" width="8.42578125" style="1" bestFit="1" customWidth="1"/>
    <col min="3" max="3" width="47.140625" style="1" bestFit="1" customWidth="1"/>
    <col min="4" max="4" width="45.140625" style="1" bestFit="1" customWidth="1"/>
    <col min="5" max="5" width="19.5703125" style="1" bestFit="1" customWidth="1"/>
    <col min="6" max="6" width="15.140625" style="1" bestFit="1" customWidth="1"/>
    <col min="7" max="7" width="14.28515625" style="1" bestFit="1" customWidth="1"/>
    <col min="8" max="8" width="14.28515625" style="1" customWidth="1"/>
    <col min="9" max="9" width="16.5703125" style="1" bestFit="1" customWidth="1"/>
    <col min="10" max="10" width="13.28515625" style="1" bestFit="1" customWidth="1"/>
    <col min="11" max="16384" width="11.42578125" style="1"/>
  </cols>
  <sheetData>
    <row r="5" spans="2:10" s="34" customFormat="1" x14ac:dyDescent="0.2">
      <c r="B5" s="42" t="s">
        <v>0</v>
      </c>
      <c r="C5" s="42" t="s">
        <v>1</v>
      </c>
      <c r="D5" s="42" t="s">
        <v>2</v>
      </c>
      <c r="E5" s="42" t="s">
        <v>3</v>
      </c>
      <c r="F5" s="42" t="s">
        <v>5</v>
      </c>
      <c r="G5" s="42" t="s">
        <v>4</v>
      </c>
      <c r="H5" s="42" t="s">
        <v>129</v>
      </c>
      <c r="I5" s="43" t="s">
        <v>134</v>
      </c>
      <c r="J5" s="43" t="s">
        <v>135</v>
      </c>
    </row>
    <row r="6" spans="2:10" hidden="1" x14ac:dyDescent="0.2">
      <c r="B6" s="44">
        <v>1</v>
      </c>
      <c r="C6" s="45" t="s">
        <v>13</v>
      </c>
      <c r="D6" s="45" t="s">
        <v>90</v>
      </c>
      <c r="E6" s="45" t="s">
        <v>119</v>
      </c>
      <c r="F6" s="45" t="s">
        <v>6</v>
      </c>
      <c r="G6" s="46">
        <v>5.23</v>
      </c>
      <c r="H6" s="48">
        <f>G6*'US$'!$B$3</f>
        <v>4211.9805000000006</v>
      </c>
      <c r="I6" s="48">
        <f>VLOOKUP(F6,DESCUENTO!$B$3:$C$9,2,0)*H6</f>
        <v>126.35941500000001</v>
      </c>
      <c r="J6" s="48">
        <f>ROUND(H6-I6,0)</f>
        <v>4086</v>
      </c>
    </row>
    <row r="7" spans="2:10" hidden="1" x14ac:dyDescent="0.2">
      <c r="B7" s="44">
        <v>2</v>
      </c>
      <c r="C7" s="45" t="s">
        <v>14</v>
      </c>
      <c r="D7" s="45" t="s">
        <v>90</v>
      </c>
      <c r="E7" s="45" t="s">
        <v>119</v>
      </c>
      <c r="F7" s="45" t="s">
        <v>7</v>
      </c>
      <c r="G7" s="46">
        <v>5.12</v>
      </c>
      <c r="H7" s="48">
        <f>G7*'US$'!$B$3</f>
        <v>4123.3919999999998</v>
      </c>
      <c r="I7" s="48">
        <f>VLOOKUP(F7,DESCUENTO!$B$3:$C$9,2,0)*H7</f>
        <v>206.1696</v>
      </c>
      <c r="J7" s="48">
        <f t="shared" ref="J7:J70" si="0">ROUND(H7-I7,0)</f>
        <v>3917</v>
      </c>
    </row>
    <row r="8" spans="2:10" hidden="1" x14ac:dyDescent="0.2">
      <c r="B8" s="44">
        <v>3</v>
      </c>
      <c r="C8" s="45" t="s">
        <v>15</v>
      </c>
      <c r="D8" s="45" t="s">
        <v>90</v>
      </c>
      <c r="E8" s="45" t="s">
        <v>120</v>
      </c>
      <c r="F8" s="45" t="s">
        <v>12</v>
      </c>
      <c r="G8" s="46">
        <v>3.58</v>
      </c>
      <c r="H8" s="48">
        <f>G8*'US$'!$B$3</f>
        <v>2883.1530000000002</v>
      </c>
      <c r="I8" s="48">
        <f>VLOOKUP(F8,DESCUENTO!$B$3:$C$9,2,0)*H8</f>
        <v>57.663060000000009</v>
      </c>
      <c r="J8" s="48">
        <f t="shared" si="0"/>
        <v>2825</v>
      </c>
    </row>
    <row r="9" spans="2:10" hidden="1" x14ac:dyDescent="0.2">
      <c r="B9" s="44">
        <v>4</v>
      </c>
      <c r="C9" s="45" t="s">
        <v>16</v>
      </c>
      <c r="D9" s="45" t="s">
        <v>91</v>
      </c>
      <c r="E9" s="45" t="s">
        <v>120</v>
      </c>
      <c r="F9" s="45" t="s">
        <v>10</v>
      </c>
      <c r="G9" s="46">
        <v>2.15</v>
      </c>
      <c r="H9" s="48">
        <f>G9*'US$'!$B$3</f>
        <v>1731.5025000000001</v>
      </c>
      <c r="I9" s="48">
        <f>VLOOKUP(F9,DESCUENTO!$B$3:$C$9,2,0)*H9</f>
        <v>173.15025000000003</v>
      </c>
      <c r="J9" s="48">
        <f t="shared" si="0"/>
        <v>1558</v>
      </c>
    </row>
    <row r="10" spans="2:10" hidden="1" x14ac:dyDescent="0.2">
      <c r="B10" s="44">
        <v>5</v>
      </c>
      <c r="C10" s="45" t="s">
        <v>17</v>
      </c>
      <c r="D10" s="45" t="s">
        <v>91</v>
      </c>
      <c r="E10" s="45" t="s">
        <v>120</v>
      </c>
      <c r="F10" s="45" t="s">
        <v>7</v>
      </c>
      <c r="G10" s="46">
        <v>1.96</v>
      </c>
      <c r="H10" s="48">
        <f>G10*'US$'!$B$3</f>
        <v>1578.4860000000001</v>
      </c>
      <c r="I10" s="48">
        <f>VLOOKUP(F10,DESCUENTO!$B$3:$C$9,2,0)*H10</f>
        <v>78.924300000000017</v>
      </c>
      <c r="J10" s="48">
        <f t="shared" si="0"/>
        <v>1500</v>
      </c>
    </row>
    <row r="11" spans="2:10" hidden="1" x14ac:dyDescent="0.2">
      <c r="B11" s="44">
        <v>6</v>
      </c>
      <c r="C11" s="45" t="s">
        <v>18</v>
      </c>
      <c r="D11" s="45" t="s">
        <v>92</v>
      </c>
      <c r="E11" s="45" t="s">
        <v>120</v>
      </c>
      <c r="F11" s="45" t="s">
        <v>12</v>
      </c>
      <c r="G11" s="46">
        <v>2.5</v>
      </c>
      <c r="H11" s="48">
        <f>G11*'US$'!$B$3</f>
        <v>2013.375</v>
      </c>
      <c r="I11" s="48">
        <f>VLOOKUP(F11,DESCUENTO!$B$3:$C$9,2,0)*H11</f>
        <v>40.267499999999998</v>
      </c>
      <c r="J11" s="48">
        <f t="shared" si="0"/>
        <v>1973</v>
      </c>
    </row>
    <row r="12" spans="2:10" hidden="1" x14ac:dyDescent="0.2">
      <c r="B12" s="44">
        <v>7</v>
      </c>
      <c r="C12" s="45" t="s">
        <v>19</v>
      </c>
      <c r="D12" s="45" t="s">
        <v>92</v>
      </c>
      <c r="E12" s="45" t="s">
        <v>121</v>
      </c>
      <c r="F12" s="45" t="s">
        <v>9</v>
      </c>
      <c r="G12" s="46">
        <v>3.38</v>
      </c>
      <c r="H12" s="48">
        <f>G12*'US$'!$B$3</f>
        <v>2722.0830000000001</v>
      </c>
      <c r="I12" s="48">
        <f>VLOOKUP(F12,DESCUENTO!$B$3:$C$9,2,0)*H12</f>
        <v>190.54581000000002</v>
      </c>
      <c r="J12" s="48">
        <f t="shared" si="0"/>
        <v>2532</v>
      </c>
    </row>
    <row r="13" spans="2:10" hidden="1" x14ac:dyDescent="0.2">
      <c r="B13" s="44">
        <v>8</v>
      </c>
      <c r="C13" s="45" t="s">
        <v>20</v>
      </c>
      <c r="D13" s="45" t="s">
        <v>92</v>
      </c>
      <c r="E13" s="45" t="s">
        <v>120</v>
      </c>
      <c r="F13" s="45" t="s">
        <v>8</v>
      </c>
      <c r="G13" s="46">
        <v>6.75</v>
      </c>
      <c r="H13" s="48">
        <f>G13*'US$'!$B$3</f>
        <v>5436.1125000000002</v>
      </c>
      <c r="I13" s="48">
        <f>VLOOKUP(F13,DESCUENTO!$B$3:$C$9,2,0)*H13</f>
        <v>434.88900000000001</v>
      </c>
      <c r="J13" s="48">
        <f t="shared" si="0"/>
        <v>5001</v>
      </c>
    </row>
    <row r="14" spans="2:10" hidden="1" x14ac:dyDescent="0.2">
      <c r="B14" s="44">
        <v>9</v>
      </c>
      <c r="C14" s="45" t="s">
        <v>21</v>
      </c>
      <c r="D14" s="45" t="s">
        <v>93</v>
      </c>
      <c r="E14" s="45" t="s">
        <v>122</v>
      </c>
      <c r="F14" s="45" t="s">
        <v>9</v>
      </c>
      <c r="G14" s="46">
        <v>2.83</v>
      </c>
      <c r="H14" s="48">
        <f>G14*'US$'!$B$3</f>
        <v>2279.1405</v>
      </c>
      <c r="I14" s="48">
        <f>VLOOKUP(F14,DESCUENTO!$B$3:$C$9,2,0)*H14</f>
        <v>159.53983500000001</v>
      </c>
      <c r="J14" s="48">
        <f t="shared" si="0"/>
        <v>2120</v>
      </c>
    </row>
    <row r="15" spans="2:10" hidden="1" x14ac:dyDescent="0.2">
      <c r="B15" s="44">
        <v>10</v>
      </c>
      <c r="C15" s="45" t="s">
        <v>22</v>
      </c>
      <c r="D15" s="45" t="s">
        <v>93</v>
      </c>
      <c r="E15" s="45" t="s">
        <v>123</v>
      </c>
      <c r="F15" s="45" t="s">
        <v>7</v>
      </c>
      <c r="G15" s="46">
        <v>0.69</v>
      </c>
      <c r="H15" s="48">
        <f>G15*'US$'!$B$3</f>
        <v>555.69150000000002</v>
      </c>
      <c r="I15" s="48">
        <f>VLOOKUP(F15,DESCUENTO!$B$3:$C$9,2,0)*H15</f>
        <v>27.784575000000004</v>
      </c>
      <c r="J15" s="48">
        <f t="shared" si="0"/>
        <v>528</v>
      </c>
    </row>
    <row r="16" spans="2:10" hidden="1" x14ac:dyDescent="0.2">
      <c r="B16" s="44">
        <v>11</v>
      </c>
      <c r="C16" s="45" t="s">
        <v>23</v>
      </c>
      <c r="D16" s="45" t="s">
        <v>94</v>
      </c>
      <c r="E16" s="45" t="s">
        <v>124</v>
      </c>
      <c r="F16" s="45" t="s">
        <v>10</v>
      </c>
      <c r="G16" s="46">
        <v>4.8</v>
      </c>
      <c r="H16" s="48">
        <f>G16*'US$'!$B$3</f>
        <v>3865.68</v>
      </c>
      <c r="I16" s="48">
        <f>VLOOKUP(F16,DESCUENTO!$B$3:$C$9,2,0)*H16</f>
        <v>386.56799999999998</v>
      </c>
      <c r="J16" s="48">
        <f t="shared" si="0"/>
        <v>3479</v>
      </c>
    </row>
    <row r="17" spans="2:10" hidden="1" x14ac:dyDescent="0.2">
      <c r="B17" s="44">
        <v>12</v>
      </c>
      <c r="C17" s="45" t="s">
        <v>24</v>
      </c>
      <c r="D17" s="45" t="s">
        <v>94</v>
      </c>
      <c r="E17" s="45" t="s">
        <v>124</v>
      </c>
      <c r="F17" s="45" t="s">
        <v>9</v>
      </c>
      <c r="G17" s="46">
        <v>3.69</v>
      </c>
      <c r="H17" s="48">
        <f>G17*'US$'!$B$3</f>
        <v>2971.7415000000001</v>
      </c>
      <c r="I17" s="48">
        <f>VLOOKUP(F17,DESCUENTO!$B$3:$C$9,2,0)*H17</f>
        <v>208.02190500000003</v>
      </c>
      <c r="J17" s="48">
        <f t="shared" si="0"/>
        <v>2764</v>
      </c>
    </row>
    <row r="18" spans="2:10" hidden="1" x14ac:dyDescent="0.2">
      <c r="B18" s="44">
        <v>13</v>
      </c>
      <c r="C18" s="45" t="s">
        <v>25</v>
      </c>
      <c r="D18" s="45" t="s">
        <v>95</v>
      </c>
      <c r="E18" s="45" t="s">
        <v>123</v>
      </c>
      <c r="F18" s="45" t="s">
        <v>6</v>
      </c>
      <c r="G18" s="46">
        <v>3.23</v>
      </c>
      <c r="H18" s="48">
        <f>G18*'US$'!$B$3</f>
        <v>2601.2804999999998</v>
      </c>
      <c r="I18" s="48">
        <f>VLOOKUP(F18,DESCUENTO!$B$3:$C$9,2,0)*H18</f>
        <v>78.038414999999986</v>
      </c>
      <c r="J18" s="48">
        <f t="shared" si="0"/>
        <v>2523</v>
      </c>
    </row>
    <row r="19" spans="2:10" hidden="1" x14ac:dyDescent="0.2">
      <c r="B19" s="44">
        <v>14</v>
      </c>
      <c r="C19" s="45" t="s">
        <v>26</v>
      </c>
      <c r="D19" s="45" t="s">
        <v>95</v>
      </c>
      <c r="E19" s="45" t="s">
        <v>121</v>
      </c>
      <c r="F19" s="45" t="s">
        <v>11</v>
      </c>
      <c r="G19" s="46">
        <v>1.1499999999999999</v>
      </c>
      <c r="H19" s="48">
        <f>G19*'US$'!$B$3</f>
        <v>926.15249999999992</v>
      </c>
      <c r="I19" s="48">
        <f>VLOOKUP(F19,DESCUENTO!$B$3:$C$9,2,0)*H19</f>
        <v>92.615250000000003</v>
      </c>
      <c r="J19" s="48">
        <f t="shared" si="0"/>
        <v>834</v>
      </c>
    </row>
    <row r="20" spans="2:10" hidden="1" x14ac:dyDescent="0.2">
      <c r="B20" s="44">
        <v>15</v>
      </c>
      <c r="C20" s="45" t="s">
        <v>27</v>
      </c>
      <c r="D20" s="45" t="s">
        <v>95</v>
      </c>
      <c r="E20" s="45" t="s">
        <v>120</v>
      </c>
      <c r="F20" s="45" t="s">
        <v>12</v>
      </c>
      <c r="G20" s="46">
        <v>6</v>
      </c>
      <c r="H20" s="48">
        <f>G20*'US$'!$B$3</f>
        <v>4832.1000000000004</v>
      </c>
      <c r="I20" s="48">
        <f>VLOOKUP(F20,DESCUENTO!$B$3:$C$9,2,0)*H20</f>
        <v>96.64200000000001</v>
      </c>
      <c r="J20" s="48">
        <f t="shared" si="0"/>
        <v>4735</v>
      </c>
    </row>
    <row r="21" spans="2:10" hidden="1" x14ac:dyDescent="0.2">
      <c r="B21" s="44">
        <v>16</v>
      </c>
      <c r="C21" s="45" t="s">
        <v>28</v>
      </c>
      <c r="D21" s="45" t="s">
        <v>96</v>
      </c>
      <c r="E21" s="45" t="s">
        <v>125</v>
      </c>
      <c r="F21" s="45" t="s">
        <v>10</v>
      </c>
      <c r="G21" s="46">
        <v>7.58</v>
      </c>
      <c r="H21" s="48">
        <f>G21*'US$'!$B$3</f>
        <v>6104.5529999999999</v>
      </c>
      <c r="I21" s="48">
        <f>VLOOKUP(F21,DESCUENTO!$B$3:$C$9,2,0)*H21</f>
        <v>610.45529999999997</v>
      </c>
      <c r="J21" s="48">
        <f t="shared" si="0"/>
        <v>5494</v>
      </c>
    </row>
    <row r="22" spans="2:10" hidden="1" x14ac:dyDescent="0.2">
      <c r="B22" s="44">
        <v>17</v>
      </c>
      <c r="C22" s="45" t="s">
        <v>29</v>
      </c>
      <c r="D22" s="45" t="s">
        <v>96</v>
      </c>
      <c r="E22" s="45" t="s">
        <v>122</v>
      </c>
      <c r="F22" s="45" t="s">
        <v>9</v>
      </c>
      <c r="G22" s="46">
        <v>2.31</v>
      </c>
      <c r="H22" s="48">
        <f>G22*'US$'!$B$3</f>
        <v>1860.3585</v>
      </c>
      <c r="I22" s="48">
        <f>VLOOKUP(F22,DESCUENTO!$B$3:$C$9,2,0)*H22</f>
        <v>130.22509500000001</v>
      </c>
      <c r="J22" s="48">
        <f t="shared" si="0"/>
        <v>1730</v>
      </c>
    </row>
    <row r="23" spans="2:10" hidden="1" x14ac:dyDescent="0.2">
      <c r="B23" s="44">
        <v>18</v>
      </c>
      <c r="C23" s="45" t="s">
        <v>30</v>
      </c>
      <c r="D23" s="45" t="s">
        <v>96</v>
      </c>
      <c r="E23" s="45" t="s">
        <v>123</v>
      </c>
      <c r="F23" s="45" t="s">
        <v>9</v>
      </c>
      <c r="G23" s="46">
        <v>3</v>
      </c>
      <c r="H23" s="48">
        <f>G23*'US$'!$B$3</f>
        <v>2416.0500000000002</v>
      </c>
      <c r="I23" s="48">
        <f>VLOOKUP(F23,DESCUENTO!$B$3:$C$9,2,0)*H23</f>
        <v>169.12350000000004</v>
      </c>
      <c r="J23" s="48">
        <f t="shared" si="0"/>
        <v>2247</v>
      </c>
    </row>
    <row r="24" spans="2:10" hidden="1" x14ac:dyDescent="0.2">
      <c r="B24" s="44">
        <v>19</v>
      </c>
      <c r="C24" s="45" t="s">
        <v>31</v>
      </c>
      <c r="D24" s="45" t="s">
        <v>97</v>
      </c>
      <c r="E24" s="45" t="s">
        <v>125</v>
      </c>
      <c r="F24" s="45" t="s">
        <v>11</v>
      </c>
      <c r="G24" s="46">
        <v>2.15</v>
      </c>
      <c r="H24" s="48">
        <f>G24*'US$'!$B$3</f>
        <v>1731.5025000000001</v>
      </c>
      <c r="I24" s="48">
        <f>VLOOKUP(F24,DESCUENTO!$B$3:$C$9,2,0)*H24</f>
        <v>173.15025000000003</v>
      </c>
      <c r="J24" s="48">
        <f t="shared" si="0"/>
        <v>1558</v>
      </c>
    </row>
    <row r="25" spans="2:10" hidden="1" x14ac:dyDescent="0.2">
      <c r="B25" s="44">
        <v>20</v>
      </c>
      <c r="C25" s="45" t="s">
        <v>32</v>
      </c>
      <c r="D25" s="45" t="s">
        <v>97</v>
      </c>
      <c r="E25" s="45" t="s">
        <v>125</v>
      </c>
      <c r="F25" s="45" t="s">
        <v>6</v>
      </c>
      <c r="G25" s="46">
        <v>4.38</v>
      </c>
      <c r="H25" s="48">
        <f>G25*'US$'!$B$3</f>
        <v>3527.433</v>
      </c>
      <c r="I25" s="48">
        <f>VLOOKUP(F25,DESCUENTO!$B$3:$C$9,2,0)*H25</f>
        <v>105.82298999999999</v>
      </c>
      <c r="J25" s="48">
        <f t="shared" si="0"/>
        <v>3422</v>
      </c>
    </row>
    <row r="26" spans="2:10" x14ac:dyDescent="0.2">
      <c r="B26" s="44">
        <v>21</v>
      </c>
      <c r="C26" s="45" t="s">
        <v>33</v>
      </c>
      <c r="D26" s="45" t="s">
        <v>97</v>
      </c>
      <c r="E26" s="45" t="s">
        <v>125</v>
      </c>
      <c r="F26" s="45" t="s">
        <v>8</v>
      </c>
      <c r="G26" s="46">
        <v>4</v>
      </c>
      <c r="H26" s="48">
        <f>G26*'US$'!$B$3</f>
        <v>3221.4</v>
      </c>
      <c r="I26" s="48">
        <f>VLOOKUP(F26,DESCUENTO!$B$3:$C$9,2,0)*H26</f>
        <v>257.71199999999999</v>
      </c>
      <c r="J26" s="48">
        <f t="shared" si="0"/>
        <v>2964</v>
      </c>
    </row>
    <row r="27" spans="2:10" hidden="1" x14ac:dyDescent="0.2">
      <c r="B27" s="44">
        <v>22</v>
      </c>
      <c r="C27" s="45" t="s">
        <v>34</v>
      </c>
      <c r="D27" s="45" t="s">
        <v>98</v>
      </c>
      <c r="E27" s="45" t="s">
        <v>126</v>
      </c>
      <c r="F27" s="45" t="s">
        <v>7</v>
      </c>
      <c r="G27" s="46">
        <v>2.77</v>
      </c>
      <c r="H27" s="48">
        <f>G27*'US$'!$B$3</f>
        <v>2230.8195000000001</v>
      </c>
      <c r="I27" s="48">
        <f>VLOOKUP(F27,DESCUENTO!$B$3:$C$9,2,0)*H27</f>
        <v>111.540975</v>
      </c>
      <c r="J27" s="48">
        <f t="shared" si="0"/>
        <v>2119</v>
      </c>
    </row>
    <row r="28" spans="2:10" hidden="1" x14ac:dyDescent="0.2">
      <c r="B28" s="44">
        <v>23</v>
      </c>
      <c r="C28" s="45" t="s">
        <v>35</v>
      </c>
      <c r="D28" s="45" t="s">
        <v>98</v>
      </c>
      <c r="E28" s="45" t="s">
        <v>126</v>
      </c>
      <c r="F28" s="45" t="s">
        <v>9</v>
      </c>
      <c r="G28" s="46">
        <v>2.77</v>
      </c>
      <c r="H28" s="48">
        <f>G28*'US$'!$B$3</f>
        <v>2230.8195000000001</v>
      </c>
      <c r="I28" s="48">
        <f>VLOOKUP(F28,DESCUENTO!$B$3:$C$9,2,0)*H28</f>
        <v>156.15736500000003</v>
      </c>
      <c r="J28" s="48">
        <f t="shared" si="0"/>
        <v>2075</v>
      </c>
    </row>
    <row r="29" spans="2:10" hidden="1" x14ac:dyDescent="0.2">
      <c r="B29" s="44">
        <v>24</v>
      </c>
      <c r="C29" s="45" t="s">
        <v>36</v>
      </c>
      <c r="D29" s="45" t="s">
        <v>99</v>
      </c>
      <c r="E29" s="45" t="s">
        <v>119</v>
      </c>
      <c r="F29" s="45" t="s">
        <v>8</v>
      </c>
      <c r="G29" s="46">
        <v>7.08</v>
      </c>
      <c r="H29" s="48">
        <f>G29*'US$'!$B$3</f>
        <v>5701.8780000000006</v>
      </c>
      <c r="I29" s="48">
        <f>VLOOKUP(F29,DESCUENTO!$B$3:$C$9,2,0)*H29</f>
        <v>456.15024000000005</v>
      </c>
      <c r="J29" s="48">
        <f t="shared" si="0"/>
        <v>5246</v>
      </c>
    </row>
    <row r="30" spans="2:10" hidden="1" x14ac:dyDescent="0.2">
      <c r="B30" s="44">
        <v>25</v>
      </c>
      <c r="C30" s="45" t="s">
        <v>37</v>
      </c>
      <c r="D30" s="45" t="s">
        <v>100</v>
      </c>
      <c r="E30" s="45" t="s">
        <v>125</v>
      </c>
      <c r="F30" s="45" t="s">
        <v>7</v>
      </c>
      <c r="G30" s="46">
        <v>2</v>
      </c>
      <c r="H30" s="48">
        <f>G30*'US$'!$B$3</f>
        <v>1610.7</v>
      </c>
      <c r="I30" s="48">
        <f>VLOOKUP(F30,DESCUENTO!$B$3:$C$9,2,0)*H30</f>
        <v>80.535000000000011</v>
      </c>
      <c r="J30" s="48">
        <f t="shared" si="0"/>
        <v>1530</v>
      </c>
    </row>
    <row r="31" spans="2:10" hidden="1" x14ac:dyDescent="0.2">
      <c r="B31" s="44">
        <v>26</v>
      </c>
      <c r="C31" s="45" t="s">
        <v>38</v>
      </c>
      <c r="D31" s="45" t="s">
        <v>100</v>
      </c>
      <c r="E31" s="45" t="s">
        <v>125</v>
      </c>
      <c r="F31" s="45" t="s">
        <v>11</v>
      </c>
      <c r="G31" s="46">
        <v>1.54</v>
      </c>
      <c r="H31" s="48">
        <f>G31*'US$'!$B$3</f>
        <v>1240.239</v>
      </c>
      <c r="I31" s="48">
        <f>VLOOKUP(F31,DESCUENTO!$B$3:$C$9,2,0)*H31</f>
        <v>124.02390000000001</v>
      </c>
      <c r="J31" s="48">
        <f t="shared" si="0"/>
        <v>1116</v>
      </c>
    </row>
    <row r="32" spans="2:10" hidden="1" x14ac:dyDescent="0.2">
      <c r="B32" s="44">
        <v>27</v>
      </c>
      <c r="C32" s="45" t="s">
        <v>39</v>
      </c>
      <c r="D32" s="45" t="s">
        <v>100</v>
      </c>
      <c r="E32" s="45" t="s">
        <v>125</v>
      </c>
      <c r="F32" s="45" t="s">
        <v>7</v>
      </c>
      <c r="G32" s="46">
        <v>2.38</v>
      </c>
      <c r="H32" s="48">
        <f>G32*'US$'!$B$3</f>
        <v>1916.7329999999999</v>
      </c>
      <c r="I32" s="48">
        <f>VLOOKUP(F32,DESCUENTO!$B$3:$C$9,2,0)*H32</f>
        <v>95.836650000000006</v>
      </c>
      <c r="J32" s="48">
        <f t="shared" si="0"/>
        <v>1821</v>
      </c>
    </row>
    <row r="33" spans="2:10" hidden="1" x14ac:dyDescent="0.2">
      <c r="B33" s="44">
        <v>28</v>
      </c>
      <c r="C33" s="45" t="s">
        <v>40</v>
      </c>
      <c r="D33" s="45" t="s">
        <v>101</v>
      </c>
      <c r="E33" s="45" t="s">
        <v>121</v>
      </c>
      <c r="F33" s="45" t="s">
        <v>9</v>
      </c>
      <c r="G33" s="46">
        <v>5.05</v>
      </c>
      <c r="H33" s="48">
        <f>G33*'US$'!$B$3</f>
        <v>4067.0174999999999</v>
      </c>
      <c r="I33" s="48">
        <f>VLOOKUP(F33,DESCUENTO!$B$3:$C$9,2,0)*H33</f>
        <v>284.69122500000003</v>
      </c>
      <c r="J33" s="48">
        <f t="shared" si="0"/>
        <v>3782</v>
      </c>
    </row>
    <row r="34" spans="2:10" hidden="1" x14ac:dyDescent="0.2">
      <c r="B34" s="44">
        <v>29</v>
      </c>
      <c r="C34" s="45" t="s">
        <v>41</v>
      </c>
      <c r="D34" s="45" t="s">
        <v>101</v>
      </c>
      <c r="E34" s="45" t="s">
        <v>122</v>
      </c>
      <c r="F34" s="45" t="s">
        <v>11</v>
      </c>
      <c r="G34" s="46">
        <v>2.77</v>
      </c>
      <c r="H34" s="48">
        <f>G34*'US$'!$B$3</f>
        <v>2230.8195000000001</v>
      </c>
      <c r="I34" s="48">
        <f>VLOOKUP(F34,DESCUENTO!$B$3:$C$9,2,0)*H34</f>
        <v>223.08195000000001</v>
      </c>
      <c r="J34" s="48">
        <f t="shared" si="0"/>
        <v>2008</v>
      </c>
    </row>
    <row r="35" spans="2:10" hidden="1" x14ac:dyDescent="0.2">
      <c r="B35" s="44">
        <v>30</v>
      </c>
      <c r="C35" s="45" t="s">
        <v>42</v>
      </c>
      <c r="D35" s="45" t="s">
        <v>102</v>
      </c>
      <c r="E35" s="45" t="s">
        <v>123</v>
      </c>
      <c r="F35" s="45" t="s">
        <v>6</v>
      </c>
      <c r="G35" s="46">
        <v>1.54</v>
      </c>
      <c r="H35" s="48">
        <f>G35*'US$'!$B$3</f>
        <v>1240.239</v>
      </c>
      <c r="I35" s="48">
        <f>VLOOKUP(F35,DESCUENTO!$B$3:$C$9,2,0)*H35</f>
        <v>37.207169999999998</v>
      </c>
      <c r="J35" s="48">
        <f t="shared" si="0"/>
        <v>1203</v>
      </c>
    </row>
    <row r="36" spans="2:10" hidden="1" x14ac:dyDescent="0.2">
      <c r="B36" s="44">
        <v>31</v>
      </c>
      <c r="C36" s="45" t="s">
        <v>43</v>
      </c>
      <c r="D36" s="45" t="s">
        <v>103</v>
      </c>
      <c r="E36" s="45" t="s">
        <v>124</v>
      </c>
      <c r="F36" s="45" t="s">
        <v>9</v>
      </c>
      <c r="G36" s="46">
        <v>1.38</v>
      </c>
      <c r="H36" s="48">
        <f>G36*'US$'!$B$3</f>
        <v>1111.383</v>
      </c>
      <c r="I36" s="48">
        <f>VLOOKUP(F36,DESCUENTO!$B$3:$C$9,2,0)*H36</f>
        <v>77.796810000000008</v>
      </c>
      <c r="J36" s="48">
        <f t="shared" si="0"/>
        <v>1034</v>
      </c>
    </row>
    <row r="37" spans="2:10" hidden="1" x14ac:dyDescent="0.2">
      <c r="B37" s="44">
        <v>32</v>
      </c>
      <c r="C37" s="45" t="s">
        <v>44</v>
      </c>
      <c r="D37" s="45" t="s">
        <v>103</v>
      </c>
      <c r="E37" s="45" t="s">
        <v>124</v>
      </c>
      <c r="F37" s="45" t="s">
        <v>6</v>
      </c>
      <c r="G37" s="46">
        <v>4.62</v>
      </c>
      <c r="H37" s="48">
        <f>G37*'US$'!$B$3</f>
        <v>3720.7170000000001</v>
      </c>
      <c r="I37" s="48">
        <f>VLOOKUP(F37,DESCUENTO!$B$3:$C$9,2,0)*H37</f>
        <v>111.62151</v>
      </c>
      <c r="J37" s="48">
        <f t="shared" si="0"/>
        <v>3609</v>
      </c>
    </row>
    <row r="38" spans="2:10" hidden="1" x14ac:dyDescent="0.2">
      <c r="B38" s="44">
        <v>33</v>
      </c>
      <c r="C38" s="45" t="s">
        <v>45</v>
      </c>
      <c r="D38" s="45" t="s">
        <v>104</v>
      </c>
      <c r="E38" s="45" t="s">
        <v>124</v>
      </c>
      <c r="F38" s="45" t="s">
        <v>7</v>
      </c>
      <c r="G38" s="46">
        <v>3.23</v>
      </c>
      <c r="H38" s="48">
        <f>G38*'US$'!$B$3</f>
        <v>2601.2804999999998</v>
      </c>
      <c r="I38" s="48">
        <f>VLOOKUP(F38,DESCUENTO!$B$3:$C$9,2,0)*H38</f>
        <v>130.06402499999999</v>
      </c>
      <c r="J38" s="48">
        <f t="shared" si="0"/>
        <v>2471</v>
      </c>
    </row>
    <row r="39" spans="2:10" hidden="1" x14ac:dyDescent="0.2">
      <c r="B39" s="44">
        <v>34</v>
      </c>
      <c r="C39" s="45" t="s">
        <v>46</v>
      </c>
      <c r="D39" s="45" t="s">
        <v>105</v>
      </c>
      <c r="E39" s="45" t="s">
        <v>119</v>
      </c>
      <c r="F39" s="45" t="s">
        <v>7</v>
      </c>
      <c r="G39" s="46">
        <v>1.92</v>
      </c>
      <c r="H39" s="48">
        <f>G39*'US$'!$B$3</f>
        <v>1546.2719999999999</v>
      </c>
      <c r="I39" s="48">
        <f>VLOOKUP(F39,DESCUENTO!$B$3:$C$9,2,0)*H39</f>
        <v>77.313600000000008</v>
      </c>
      <c r="J39" s="48">
        <f t="shared" si="0"/>
        <v>1469</v>
      </c>
    </row>
    <row r="40" spans="2:10" hidden="1" x14ac:dyDescent="0.2">
      <c r="B40" s="44">
        <v>35</v>
      </c>
      <c r="C40" s="45" t="s">
        <v>47</v>
      </c>
      <c r="D40" s="45" t="s">
        <v>105</v>
      </c>
      <c r="E40" s="45" t="s">
        <v>119</v>
      </c>
      <c r="F40" s="45" t="s">
        <v>7</v>
      </c>
      <c r="G40" s="46">
        <v>1.85</v>
      </c>
      <c r="H40" s="48">
        <f>G40*'US$'!$B$3</f>
        <v>1489.8975</v>
      </c>
      <c r="I40" s="48">
        <f>VLOOKUP(F40,DESCUENTO!$B$3:$C$9,2,0)*H40</f>
        <v>74.494875000000008</v>
      </c>
      <c r="J40" s="48">
        <f t="shared" si="0"/>
        <v>1415</v>
      </c>
    </row>
    <row r="41" spans="2:10" hidden="1" x14ac:dyDescent="0.2">
      <c r="B41" s="44">
        <v>36</v>
      </c>
      <c r="C41" s="45" t="s">
        <v>48</v>
      </c>
      <c r="D41" s="45" t="s">
        <v>106</v>
      </c>
      <c r="E41" s="45" t="s">
        <v>123</v>
      </c>
      <c r="F41" s="45" t="s">
        <v>9</v>
      </c>
      <c r="G41" s="46">
        <v>8.4600000000000009</v>
      </c>
      <c r="H41" s="48">
        <f>G41*'US$'!$B$3</f>
        <v>6813.2610000000013</v>
      </c>
      <c r="I41" s="48">
        <f>VLOOKUP(F41,DESCUENTO!$B$3:$C$9,2,0)*H41</f>
        <v>476.92827000000011</v>
      </c>
      <c r="J41" s="48">
        <f t="shared" si="0"/>
        <v>6336</v>
      </c>
    </row>
    <row r="42" spans="2:10" hidden="1" x14ac:dyDescent="0.2">
      <c r="B42" s="44">
        <v>37</v>
      </c>
      <c r="C42" s="45" t="s">
        <v>49</v>
      </c>
      <c r="D42" s="45" t="s">
        <v>106</v>
      </c>
      <c r="E42" s="45" t="s">
        <v>123</v>
      </c>
      <c r="F42" s="45" t="s">
        <v>7</v>
      </c>
      <c r="G42" s="46">
        <v>3.08</v>
      </c>
      <c r="H42" s="48">
        <f>G42*'US$'!$B$3</f>
        <v>2480.4780000000001</v>
      </c>
      <c r="I42" s="48">
        <f>VLOOKUP(F42,DESCUENTO!$B$3:$C$9,2,0)*H42</f>
        <v>124.02390000000001</v>
      </c>
      <c r="J42" s="48">
        <f t="shared" si="0"/>
        <v>2356</v>
      </c>
    </row>
    <row r="43" spans="2:10" hidden="1" x14ac:dyDescent="0.2">
      <c r="B43" s="44">
        <v>38</v>
      </c>
      <c r="C43" s="45" t="s">
        <v>50</v>
      </c>
      <c r="D43" s="45" t="s">
        <v>107</v>
      </c>
      <c r="E43" s="45" t="s">
        <v>119</v>
      </c>
      <c r="F43" s="45" t="s">
        <v>6</v>
      </c>
      <c r="G43" s="46">
        <v>2.04</v>
      </c>
      <c r="H43" s="48">
        <f>G43*'US$'!$B$3</f>
        <v>1642.914</v>
      </c>
      <c r="I43" s="48">
        <f>VLOOKUP(F43,DESCUENTO!$B$3:$C$9,2,0)*H43</f>
        <v>49.287419999999997</v>
      </c>
      <c r="J43" s="48">
        <f t="shared" si="0"/>
        <v>1594</v>
      </c>
    </row>
    <row r="44" spans="2:10" hidden="1" x14ac:dyDescent="0.2">
      <c r="B44" s="44">
        <v>39</v>
      </c>
      <c r="C44" s="45" t="s">
        <v>51</v>
      </c>
      <c r="D44" s="45" t="s">
        <v>107</v>
      </c>
      <c r="E44" s="45" t="s">
        <v>119</v>
      </c>
      <c r="F44" s="45" t="s">
        <v>8</v>
      </c>
      <c r="G44" s="46">
        <v>14.92</v>
      </c>
      <c r="H44" s="48">
        <f>G44*'US$'!$B$3</f>
        <v>12015.822</v>
      </c>
      <c r="I44" s="48">
        <f>VLOOKUP(F44,DESCUENTO!$B$3:$C$9,2,0)*H44</f>
        <v>961.26576</v>
      </c>
      <c r="J44" s="48">
        <f t="shared" si="0"/>
        <v>11055</v>
      </c>
    </row>
    <row r="45" spans="2:10" hidden="1" x14ac:dyDescent="0.2">
      <c r="B45" s="44">
        <v>40</v>
      </c>
      <c r="C45" s="45" t="s">
        <v>52</v>
      </c>
      <c r="D45" s="45" t="s">
        <v>108</v>
      </c>
      <c r="E45" s="45" t="s">
        <v>123</v>
      </c>
      <c r="F45" s="45" t="s">
        <v>11</v>
      </c>
      <c r="G45" s="46">
        <v>5.85</v>
      </c>
      <c r="H45" s="48">
        <f>G45*'US$'!$B$3</f>
        <v>4711.2974999999997</v>
      </c>
      <c r="I45" s="48">
        <f>VLOOKUP(F45,DESCUENTO!$B$3:$C$9,2,0)*H45</f>
        <v>471.12975</v>
      </c>
      <c r="J45" s="48">
        <f t="shared" si="0"/>
        <v>4240</v>
      </c>
    </row>
    <row r="46" spans="2:10" hidden="1" x14ac:dyDescent="0.2">
      <c r="B46" s="44">
        <v>41</v>
      </c>
      <c r="C46" s="45" t="s">
        <v>53</v>
      </c>
      <c r="D46" s="45" t="s">
        <v>108</v>
      </c>
      <c r="E46" s="45" t="s">
        <v>123</v>
      </c>
      <c r="F46" s="45" t="s">
        <v>10</v>
      </c>
      <c r="G46" s="46">
        <v>5.35</v>
      </c>
      <c r="H46" s="48">
        <f>G46*'US$'!$B$3</f>
        <v>4308.6224999999995</v>
      </c>
      <c r="I46" s="48">
        <f>VLOOKUP(F46,DESCUENTO!$B$3:$C$9,2,0)*H46</f>
        <v>430.86224999999996</v>
      </c>
      <c r="J46" s="48">
        <f t="shared" si="0"/>
        <v>3878</v>
      </c>
    </row>
    <row r="47" spans="2:10" hidden="1" x14ac:dyDescent="0.2">
      <c r="B47" s="44">
        <v>42</v>
      </c>
      <c r="C47" s="45" t="s">
        <v>54</v>
      </c>
      <c r="D47" s="45" t="s">
        <v>109</v>
      </c>
      <c r="E47" s="45" t="s">
        <v>126</v>
      </c>
      <c r="F47" s="45" t="s">
        <v>10</v>
      </c>
      <c r="G47" s="46">
        <v>3.85</v>
      </c>
      <c r="H47" s="48">
        <f>G47*'US$'!$B$3</f>
        <v>3100.5975000000003</v>
      </c>
      <c r="I47" s="48">
        <f>VLOOKUP(F47,DESCUENTO!$B$3:$C$9,2,0)*H47</f>
        <v>310.05975000000007</v>
      </c>
      <c r="J47" s="48">
        <f t="shared" si="0"/>
        <v>2791</v>
      </c>
    </row>
    <row r="48" spans="2:10" hidden="1" x14ac:dyDescent="0.2">
      <c r="B48" s="44">
        <v>43</v>
      </c>
      <c r="C48" s="45" t="s">
        <v>55</v>
      </c>
      <c r="D48" s="45" t="s">
        <v>109</v>
      </c>
      <c r="E48" s="45" t="s">
        <v>119</v>
      </c>
      <c r="F48" s="45" t="s">
        <v>6</v>
      </c>
      <c r="G48" s="46">
        <v>0.92</v>
      </c>
      <c r="H48" s="48">
        <f>G48*'US$'!$B$3</f>
        <v>740.92200000000003</v>
      </c>
      <c r="I48" s="48">
        <f>VLOOKUP(F48,DESCUENTO!$B$3:$C$9,2,0)*H48</f>
        <v>22.22766</v>
      </c>
      <c r="J48" s="48">
        <f t="shared" si="0"/>
        <v>719</v>
      </c>
    </row>
    <row r="49" spans="2:10" hidden="1" x14ac:dyDescent="0.2">
      <c r="B49" s="44">
        <v>44</v>
      </c>
      <c r="C49" s="45" t="s">
        <v>56</v>
      </c>
      <c r="D49" s="45" t="s">
        <v>109</v>
      </c>
      <c r="E49" s="45" t="s">
        <v>120</v>
      </c>
      <c r="F49" s="45" t="s">
        <v>12</v>
      </c>
      <c r="G49" s="46">
        <v>2.31</v>
      </c>
      <c r="H49" s="48">
        <f>G49*'US$'!$B$3</f>
        <v>1860.3585</v>
      </c>
      <c r="I49" s="48">
        <f>VLOOKUP(F49,DESCUENTO!$B$3:$C$9,2,0)*H49</f>
        <v>37.207170000000005</v>
      </c>
      <c r="J49" s="48">
        <f t="shared" si="0"/>
        <v>1823</v>
      </c>
    </row>
    <row r="50" spans="2:10" hidden="1" x14ac:dyDescent="0.2">
      <c r="B50" s="44">
        <v>45</v>
      </c>
      <c r="C50" s="45" t="s">
        <v>57</v>
      </c>
      <c r="D50" s="45" t="s">
        <v>110</v>
      </c>
      <c r="E50" s="45" t="s">
        <v>123</v>
      </c>
      <c r="F50" s="45" t="s">
        <v>6</v>
      </c>
      <c r="G50" s="46">
        <v>0.38</v>
      </c>
      <c r="H50" s="48">
        <f>G50*'US$'!$B$3</f>
        <v>306.03300000000002</v>
      </c>
      <c r="I50" s="48">
        <f>VLOOKUP(F50,DESCUENTO!$B$3:$C$9,2,0)*H50</f>
        <v>9.1809899999999995</v>
      </c>
      <c r="J50" s="48">
        <f t="shared" si="0"/>
        <v>297</v>
      </c>
    </row>
    <row r="51" spans="2:10" hidden="1" x14ac:dyDescent="0.2">
      <c r="B51" s="44">
        <v>46</v>
      </c>
      <c r="C51" s="45" t="s">
        <v>58</v>
      </c>
      <c r="D51" s="45" t="s">
        <v>110</v>
      </c>
      <c r="E51" s="45" t="s">
        <v>123</v>
      </c>
      <c r="F51" s="45" t="s">
        <v>11</v>
      </c>
      <c r="G51" s="46">
        <v>1.92</v>
      </c>
      <c r="H51" s="48">
        <f>G51*'US$'!$B$3</f>
        <v>1546.2719999999999</v>
      </c>
      <c r="I51" s="48">
        <f>VLOOKUP(F51,DESCUENTO!$B$3:$C$9,2,0)*H51</f>
        <v>154.62720000000002</v>
      </c>
      <c r="J51" s="48">
        <f t="shared" si="0"/>
        <v>1392</v>
      </c>
    </row>
    <row r="52" spans="2:10" hidden="1" x14ac:dyDescent="0.2">
      <c r="B52" s="44">
        <v>47</v>
      </c>
      <c r="C52" s="45" t="s">
        <v>59</v>
      </c>
      <c r="D52" s="45" t="s">
        <v>111</v>
      </c>
      <c r="E52" s="45" t="s">
        <v>125</v>
      </c>
      <c r="F52" s="45" t="s">
        <v>6</v>
      </c>
      <c r="G52" s="46">
        <v>6.75</v>
      </c>
      <c r="H52" s="48">
        <f>G52*'US$'!$B$3</f>
        <v>5436.1125000000002</v>
      </c>
      <c r="I52" s="48">
        <f>VLOOKUP(F52,DESCUENTO!$B$3:$C$9,2,0)*H52</f>
        <v>163.08337499999999</v>
      </c>
      <c r="J52" s="48">
        <f t="shared" si="0"/>
        <v>5273</v>
      </c>
    </row>
    <row r="53" spans="2:10" hidden="1" x14ac:dyDescent="0.2">
      <c r="B53" s="44">
        <v>48</v>
      </c>
      <c r="C53" s="45" t="s">
        <v>60</v>
      </c>
      <c r="D53" s="45" t="s">
        <v>111</v>
      </c>
      <c r="E53" s="45" t="s">
        <v>125</v>
      </c>
      <c r="F53" s="45" t="s">
        <v>8</v>
      </c>
      <c r="G53" s="46">
        <v>3.24</v>
      </c>
      <c r="H53" s="48">
        <f>G53*'US$'!$B$3</f>
        <v>2609.3340000000003</v>
      </c>
      <c r="I53" s="48">
        <f>VLOOKUP(F53,DESCUENTO!$B$3:$C$9,2,0)*H53</f>
        <v>208.74672000000004</v>
      </c>
      <c r="J53" s="48">
        <f t="shared" si="0"/>
        <v>2401</v>
      </c>
    </row>
    <row r="54" spans="2:10" hidden="1" x14ac:dyDescent="0.2">
      <c r="B54" s="44">
        <v>49</v>
      </c>
      <c r="C54" s="45" t="s">
        <v>61</v>
      </c>
      <c r="D54" s="45" t="s">
        <v>112</v>
      </c>
      <c r="E54" s="45" t="s">
        <v>125</v>
      </c>
      <c r="F54" s="45" t="s">
        <v>10</v>
      </c>
      <c r="G54" s="46">
        <v>2.77</v>
      </c>
      <c r="H54" s="48">
        <f>G54*'US$'!$B$3</f>
        <v>2230.8195000000001</v>
      </c>
      <c r="I54" s="48">
        <f>VLOOKUP(F54,DESCUENTO!$B$3:$C$9,2,0)*H54</f>
        <v>223.08195000000001</v>
      </c>
      <c r="J54" s="48">
        <f t="shared" si="0"/>
        <v>2008</v>
      </c>
    </row>
    <row r="55" spans="2:10" hidden="1" x14ac:dyDescent="0.2">
      <c r="B55" s="44">
        <v>50</v>
      </c>
      <c r="C55" s="45" t="s">
        <v>62</v>
      </c>
      <c r="D55" s="45" t="s">
        <v>112</v>
      </c>
      <c r="E55" s="45" t="s">
        <v>125</v>
      </c>
      <c r="F55" s="45" t="s">
        <v>8</v>
      </c>
      <c r="G55" s="46">
        <v>6.15</v>
      </c>
      <c r="H55" s="48">
        <f>G55*'US$'!$B$3</f>
        <v>4952.9025000000001</v>
      </c>
      <c r="I55" s="48">
        <f>VLOOKUP(F55,DESCUENTO!$B$3:$C$9,2,0)*H55</f>
        <v>396.23220000000003</v>
      </c>
      <c r="J55" s="48">
        <f t="shared" si="0"/>
        <v>4557</v>
      </c>
    </row>
    <row r="56" spans="2:10" hidden="1" x14ac:dyDescent="0.2">
      <c r="B56" s="44">
        <v>51</v>
      </c>
      <c r="C56" s="45" t="s">
        <v>63</v>
      </c>
      <c r="D56" s="45" t="s">
        <v>113</v>
      </c>
      <c r="E56" s="45" t="s">
        <v>121</v>
      </c>
      <c r="F56" s="45" t="s">
        <v>7</v>
      </c>
      <c r="G56" s="46">
        <v>2.92</v>
      </c>
      <c r="H56" s="48">
        <f>G56*'US$'!$B$3</f>
        <v>2351.6219999999998</v>
      </c>
      <c r="I56" s="48">
        <f>VLOOKUP(F56,DESCUENTO!$B$3:$C$9,2,0)*H56</f>
        <v>117.58109999999999</v>
      </c>
      <c r="J56" s="48">
        <f t="shared" si="0"/>
        <v>2234</v>
      </c>
    </row>
    <row r="57" spans="2:10" hidden="1" x14ac:dyDescent="0.2">
      <c r="B57" s="44">
        <v>52</v>
      </c>
      <c r="C57" s="45" t="s">
        <v>64</v>
      </c>
      <c r="D57" s="45" t="s">
        <v>113</v>
      </c>
      <c r="E57" s="45" t="s">
        <v>126</v>
      </c>
      <c r="F57" s="45" t="s">
        <v>6</v>
      </c>
      <c r="G57" s="46">
        <v>5.85</v>
      </c>
      <c r="H57" s="48">
        <f>G57*'US$'!$B$3</f>
        <v>4711.2974999999997</v>
      </c>
      <c r="I57" s="48">
        <f>VLOOKUP(F57,DESCUENTO!$B$3:$C$9,2,0)*H57</f>
        <v>141.33892499999999</v>
      </c>
      <c r="J57" s="48">
        <f t="shared" si="0"/>
        <v>4570</v>
      </c>
    </row>
    <row r="58" spans="2:10" hidden="1" x14ac:dyDescent="0.2">
      <c r="B58" s="44">
        <v>53</v>
      </c>
      <c r="C58" s="45" t="s">
        <v>65</v>
      </c>
      <c r="D58" s="45" t="s">
        <v>113</v>
      </c>
      <c r="E58" s="45" t="s">
        <v>122</v>
      </c>
      <c r="F58" s="45" t="s">
        <v>10</v>
      </c>
      <c r="G58" s="46">
        <v>1.08</v>
      </c>
      <c r="H58" s="48">
        <f>G58*'US$'!$B$3</f>
        <v>869.77800000000013</v>
      </c>
      <c r="I58" s="48">
        <f>VLOOKUP(F58,DESCUENTO!$B$3:$C$9,2,0)*H58</f>
        <v>86.977800000000016</v>
      </c>
      <c r="J58" s="48">
        <f t="shared" si="0"/>
        <v>783</v>
      </c>
    </row>
    <row r="59" spans="2:10" hidden="1" x14ac:dyDescent="0.2">
      <c r="B59" s="44">
        <v>54</v>
      </c>
      <c r="C59" s="45" t="s">
        <v>66</v>
      </c>
      <c r="D59" s="45" t="s">
        <v>114</v>
      </c>
      <c r="E59" s="45" t="s">
        <v>122</v>
      </c>
      <c r="F59" s="45" t="s">
        <v>10</v>
      </c>
      <c r="G59" s="46">
        <v>1.19</v>
      </c>
      <c r="H59" s="48">
        <f>G59*'US$'!$B$3</f>
        <v>958.36649999999997</v>
      </c>
      <c r="I59" s="48">
        <f>VLOOKUP(F59,DESCUENTO!$B$3:$C$9,2,0)*H59</f>
        <v>95.836650000000006</v>
      </c>
      <c r="J59" s="48">
        <f t="shared" si="0"/>
        <v>863</v>
      </c>
    </row>
    <row r="60" spans="2:10" hidden="1" x14ac:dyDescent="0.2">
      <c r="B60" s="44">
        <v>55</v>
      </c>
      <c r="C60" s="45" t="s">
        <v>67</v>
      </c>
      <c r="D60" s="45" t="s">
        <v>114</v>
      </c>
      <c r="E60" s="45" t="s">
        <v>122</v>
      </c>
      <c r="F60" s="45" t="s">
        <v>11</v>
      </c>
      <c r="G60" s="46">
        <v>2.15</v>
      </c>
      <c r="H60" s="48">
        <f>G60*'US$'!$B$3</f>
        <v>1731.5025000000001</v>
      </c>
      <c r="I60" s="48">
        <f>VLOOKUP(F60,DESCUENTO!$B$3:$C$9,2,0)*H60</f>
        <v>173.15025000000003</v>
      </c>
      <c r="J60" s="48">
        <f t="shared" si="0"/>
        <v>1558</v>
      </c>
    </row>
    <row r="61" spans="2:10" hidden="1" x14ac:dyDescent="0.2">
      <c r="B61" s="44">
        <v>56</v>
      </c>
      <c r="C61" s="45" t="s">
        <v>68</v>
      </c>
      <c r="D61" s="45" t="s">
        <v>115</v>
      </c>
      <c r="E61" s="45" t="s">
        <v>126</v>
      </c>
      <c r="F61" s="45" t="s">
        <v>11</v>
      </c>
      <c r="G61" s="46">
        <v>9.6199999999999992</v>
      </c>
      <c r="H61" s="48">
        <f>G61*'US$'!$B$3</f>
        <v>7747.4669999999996</v>
      </c>
      <c r="I61" s="48">
        <f>VLOOKUP(F61,DESCUENTO!$B$3:$C$9,2,0)*H61</f>
        <v>774.74670000000003</v>
      </c>
      <c r="J61" s="48">
        <f t="shared" si="0"/>
        <v>6973</v>
      </c>
    </row>
    <row r="62" spans="2:10" hidden="1" x14ac:dyDescent="0.2">
      <c r="B62" s="44">
        <v>57</v>
      </c>
      <c r="C62" s="45" t="s">
        <v>69</v>
      </c>
      <c r="D62" s="45" t="s">
        <v>115</v>
      </c>
      <c r="E62" s="45" t="s">
        <v>126</v>
      </c>
      <c r="F62" s="45" t="s">
        <v>10</v>
      </c>
      <c r="G62" s="46">
        <v>8.15</v>
      </c>
      <c r="H62" s="48">
        <f>G62*'US$'!$B$3</f>
        <v>6563.6025000000009</v>
      </c>
      <c r="I62" s="48">
        <f>VLOOKUP(F62,DESCUENTO!$B$3:$C$9,2,0)*H62</f>
        <v>656.36025000000018</v>
      </c>
      <c r="J62" s="48">
        <f t="shared" si="0"/>
        <v>5907</v>
      </c>
    </row>
    <row r="63" spans="2:10" hidden="1" x14ac:dyDescent="0.2">
      <c r="B63" s="44">
        <v>58</v>
      </c>
      <c r="C63" s="45" t="s">
        <v>70</v>
      </c>
      <c r="D63" s="45" t="s">
        <v>116</v>
      </c>
      <c r="E63" s="45" t="s">
        <v>123</v>
      </c>
      <c r="F63" s="45" t="s">
        <v>11</v>
      </c>
      <c r="G63" s="46">
        <v>5.54</v>
      </c>
      <c r="H63" s="48">
        <f>G63*'US$'!$B$3</f>
        <v>4461.6390000000001</v>
      </c>
      <c r="I63" s="48">
        <f>VLOOKUP(F63,DESCUENTO!$B$3:$C$9,2,0)*H63</f>
        <v>446.16390000000001</v>
      </c>
      <c r="J63" s="48">
        <f t="shared" si="0"/>
        <v>4015</v>
      </c>
    </row>
    <row r="64" spans="2:10" hidden="1" x14ac:dyDescent="0.2">
      <c r="B64" s="44">
        <v>59</v>
      </c>
      <c r="C64" s="45" t="s">
        <v>71</v>
      </c>
      <c r="D64" s="45" t="s">
        <v>117</v>
      </c>
      <c r="E64" s="45" t="s">
        <v>124</v>
      </c>
      <c r="F64" s="45" t="s">
        <v>7</v>
      </c>
      <c r="G64" s="46">
        <v>2.68</v>
      </c>
      <c r="H64" s="48">
        <f>G64*'US$'!$B$3</f>
        <v>2158.3380000000002</v>
      </c>
      <c r="I64" s="48">
        <f>VLOOKUP(F64,DESCUENTO!$B$3:$C$9,2,0)*H64</f>
        <v>107.91690000000001</v>
      </c>
      <c r="J64" s="48">
        <f t="shared" si="0"/>
        <v>2050</v>
      </c>
    </row>
    <row r="65" spans="2:10" hidden="1" x14ac:dyDescent="0.2">
      <c r="B65" s="44">
        <v>60</v>
      </c>
      <c r="C65" s="45" t="s">
        <v>72</v>
      </c>
      <c r="D65" s="45" t="s">
        <v>117</v>
      </c>
      <c r="E65" s="45" t="s">
        <v>124</v>
      </c>
      <c r="F65" s="45" t="s">
        <v>10</v>
      </c>
      <c r="G65" s="46">
        <v>12.46</v>
      </c>
      <c r="H65" s="48">
        <f>G65*'US$'!$B$3</f>
        <v>10034.661000000002</v>
      </c>
      <c r="I65" s="48">
        <f>VLOOKUP(F65,DESCUENTO!$B$3:$C$9,2,0)*H65</f>
        <v>1003.4661000000002</v>
      </c>
      <c r="J65" s="48">
        <f t="shared" si="0"/>
        <v>9031</v>
      </c>
    </row>
    <row r="66" spans="2:10" hidden="1" x14ac:dyDescent="0.2">
      <c r="B66" s="44">
        <v>61</v>
      </c>
      <c r="C66" s="45" t="s">
        <v>73</v>
      </c>
      <c r="D66" s="45" t="s">
        <v>118</v>
      </c>
      <c r="E66" s="45" t="s">
        <v>120</v>
      </c>
      <c r="F66" s="45" t="s">
        <v>11</v>
      </c>
      <c r="G66" s="46">
        <v>3.31</v>
      </c>
      <c r="H66" s="48">
        <f>G66*'US$'!$B$3</f>
        <v>2665.7085000000002</v>
      </c>
      <c r="I66" s="48">
        <f>VLOOKUP(F66,DESCUENTO!$B$3:$C$9,2,0)*H66</f>
        <v>266.57085000000001</v>
      </c>
      <c r="J66" s="48">
        <f t="shared" si="0"/>
        <v>2399</v>
      </c>
    </row>
    <row r="67" spans="2:10" hidden="1" x14ac:dyDescent="0.2">
      <c r="B67" s="44">
        <v>62</v>
      </c>
      <c r="C67" s="45" t="s">
        <v>74</v>
      </c>
      <c r="D67" s="45" t="s">
        <v>118</v>
      </c>
      <c r="E67" s="45" t="s">
        <v>125</v>
      </c>
      <c r="F67" s="45" t="s">
        <v>10</v>
      </c>
      <c r="G67" s="46">
        <v>40.54</v>
      </c>
      <c r="H67" s="48">
        <f>G67*'US$'!$B$3</f>
        <v>32648.888999999999</v>
      </c>
      <c r="I67" s="48">
        <f>VLOOKUP(F67,DESCUENTO!$B$3:$C$9,2,0)*H67</f>
        <v>3264.8888999999999</v>
      </c>
      <c r="J67" s="48">
        <f t="shared" si="0"/>
        <v>29384</v>
      </c>
    </row>
    <row r="68" spans="2:10" hidden="1" x14ac:dyDescent="0.2">
      <c r="B68" s="44">
        <v>63</v>
      </c>
      <c r="C68" s="45" t="s">
        <v>75</v>
      </c>
      <c r="D68" s="45" t="s">
        <v>96</v>
      </c>
      <c r="E68" s="45" t="s">
        <v>120</v>
      </c>
      <c r="F68" s="45" t="s">
        <v>8</v>
      </c>
      <c r="G68" s="46">
        <v>2.15</v>
      </c>
      <c r="H68" s="48">
        <f>G68*'US$'!$B$3</f>
        <v>1731.5025000000001</v>
      </c>
      <c r="I68" s="48">
        <f>VLOOKUP(F68,DESCUENTO!$B$3:$C$9,2,0)*H68</f>
        <v>138.52020000000002</v>
      </c>
      <c r="J68" s="48">
        <f t="shared" si="0"/>
        <v>1593</v>
      </c>
    </row>
    <row r="69" spans="2:10" hidden="1" x14ac:dyDescent="0.2">
      <c r="B69" s="44">
        <v>64</v>
      </c>
      <c r="C69" s="45" t="s">
        <v>76</v>
      </c>
      <c r="D69" s="45" t="s">
        <v>101</v>
      </c>
      <c r="E69" s="45" t="s">
        <v>126</v>
      </c>
      <c r="F69" s="45" t="s">
        <v>6</v>
      </c>
      <c r="G69" s="46">
        <v>1.46</v>
      </c>
      <c r="H69" s="48">
        <f>G69*'US$'!$B$3</f>
        <v>1175.8109999999999</v>
      </c>
      <c r="I69" s="48">
        <f>VLOOKUP(F69,DESCUENTO!$B$3:$C$9,2,0)*H69</f>
        <v>35.274329999999999</v>
      </c>
      <c r="J69" s="48">
        <f t="shared" si="0"/>
        <v>1141</v>
      </c>
    </row>
    <row r="70" spans="2:10" hidden="1" x14ac:dyDescent="0.2">
      <c r="B70" s="44">
        <v>65</v>
      </c>
      <c r="C70" s="45" t="s">
        <v>77</v>
      </c>
      <c r="D70" s="45" t="s">
        <v>91</v>
      </c>
      <c r="E70" s="45" t="s">
        <v>120</v>
      </c>
      <c r="F70" s="45" t="s">
        <v>10</v>
      </c>
      <c r="G70" s="46">
        <v>7.02</v>
      </c>
      <c r="H70" s="48">
        <f>G70*'US$'!$B$3</f>
        <v>5653.5569999999998</v>
      </c>
      <c r="I70" s="48">
        <f>VLOOKUP(F70,DESCUENTO!$B$3:$C$9,2,0)*H70</f>
        <v>565.35569999999996</v>
      </c>
      <c r="J70" s="48">
        <f t="shared" si="0"/>
        <v>5088</v>
      </c>
    </row>
    <row r="71" spans="2:10" hidden="1" x14ac:dyDescent="0.2">
      <c r="B71" s="44">
        <v>66</v>
      </c>
      <c r="C71" s="45" t="s">
        <v>78</v>
      </c>
      <c r="D71" s="45" t="s">
        <v>91</v>
      </c>
      <c r="E71" s="45" t="s">
        <v>120</v>
      </c>
      <c r="F71" s="45" t="s">
        <v>10</v>
      </c>
      <c r="G71" s="46">
        <v>2.92</v>
      </c>
      <c r="H71" s="48">
        <f>G71*'US$'!$B$3</f>
        <v>2351.6219999999998</v>
      </c>
      <c r="I71" s="48">
        <f>VLOOKUP(F71,DESCUENTO!$B$3:$C$9,2,0)*H71</f>
        <v>235.16219999999998</v>
      </c>
      <c r="J71" s="48">
        <f t="shared" ref="J71:J82" si="1">ROUND(H71-I71,0)</f>
        <v>2116</v>
      </c>
    </row>
    <row r="72" spans="2:10" hidden="1" x14ac:dyDescent="0.2">
      <c r="B72" s="44">
        <v>67</v>
      </c>
      <c r="C72" s="45" t="s">
        <v>79</v>
      </c>
      <c r="D72" s="45" t="s">
        <v>105</v>
      </c>
      <c r="E72" s="45" t="s">
        <v>119</v>
      </c>
      <c r="F72" s="45" t="s">
        <v>7</v>
      </c>
      <c r="G72" s="46">
        <v>3.98</v>
      </c>
      <c r="H72" s="48">
        <f>G72*'US$'!$B$3</f>
        <v>3205.2930000000001</v>
      </c>
      <c r="I72" s="48">
        <f>VLOOKUP(F72,DESCUENTO!$B$3:$C$9,2,0)*H72</f>
        <v>160.26465000000002</v>
      </c>
      <c r="J72" s="48">
        <f t="shared" si="1"/>
        <v>3045</v>
      </c>
    </row>
    <row r="73" spans="2:10" x14ac:dyDescent="0.2">
      <c r="B73" s="44">
        <v>68</v>
      </c>
      <c r="C73" s="45" t="s">
        <v>80</v>
      </c>
      <c r="D73" s="45" t="s">
        <v>97</v>
      </c>
      <c r="E73" s="45" t="s">
        <v>125</v>
      </c>
      <c r="F73" s="45" t="s">
        <v>8</v>
      </c>
      <c r="G73" s="46">
        <v>19.04</v>
      </c>
      <c r="H73" s="48">
        <f>G73*'US$'!$B$3</f>
        <v>15333.864</v>
      </c>
      <c r="I73" s="48">
        <f>VLOOKUP(F73,DESCUENTO!$B$3:$C$9,2,0)*H73</f>
        <v>1226.70912</v>
      </c>
      <c r="J73" s="48">
        <f t="shared" si="1"/>
        <v>14107</v>
      </c>
    </row>
    <row r="74" spans="2:10" hidden="1" x14ac:dyDescent="0.2">
      <c r="B74" s="44">
        <v>69</v>
      </c>
      <c r="C74" s="45" t="s">
        <v>81</v>
      </c>
      <c r="D74" s="45" t="s">
        <v>104</v>
      </c>
      <c r="E74" s="45" t="s">
        <v>124</v>
      </c>
      <c r="F74" s="45" t="s">
        <v>7</v>
      </c>
      <c r="G74" s="46">
        <v>1.42</v>
      </c>
      <c r="H74" s="48">
        <f>G74*'US$'!$B$3</f>
        <v>1143.597</v>
      </c>
      <c r="I74" s="48">
        <f>VLOOKUP(F74,DESCUENTO!$B$3:$C$9,2,0)*H74</f>
        <v>57.179850000000002</v>
      </c>
      <c r="J74" s="48">
        <f t="shared" si="1"/>
        <v>1086</v>
      </c>
    </row>
    <row r="75" spans="2:10" hidden="1" x14ac:dyDescent="0.2">
      <c r="B75" s="44">
        <v>70</v>
      </c>
      <c r="C75" s="45" t="s">
        <v>82</v>
      </c>
      <c r="D75" s="45" t="s">
        <v>96</v>
      </c>
      <c r="E75" s="45" t="s">
        <v>119</v>
      </c>
      <c r="F75" s="45" t="s">
        <v>7</v>
      </c>
      <c r="G75" s="46">
        <v>2.99</v>
      </c>
      <c r="H75" s="48">
        <f>G75*'US$'!$B$3</f>
        <v>2407.9965000000002</v>
      </c>
      <c r="I75" s="48">
        <f>VLOOKUP(F75,DESCUENTO!$B$3:$C$9,2,0)*H75</f>
        <v>120.39982500000002</v>
      </c>
      <c r="J75" s="48">
        <f t="shared" si="1"/>
        <v>2288</v>
      </c>
    </row>
    <row r="76" spans="2:10" hidden="1" x14ac:dyDescent="0.2">
      <c r="B76" s="44">
        <v>71</v>
      </c>
      <c r="C76" s="45" t="s">
        <v>83</v>
      </c>
      <c r="D76" s="45" t="s">
        <v>104</v>
      </c>
      <c r="E76" s="45" t="s">
        <v>124</v>
      </c>
      <c r="F76" s="45" t="s">
        <v>10</v>
      </c>
      <c r="G76" s="46">
        <v>3.28</v>
      </c>
      <c r="H76" s="48">
        <f>G76*'US$'!$B$3</f>
        <v>2641.5479999999998</v>
      </c>
      <c r="I76" s="48">
        <f>VLOOKUP(F76,DESCUENTO!$B$3:$C$9,2,0)*H76</f>
        <v>264.15479999999997</v>
      </c>
      <c r="J76" s="48">
        <f t="shared" si="1"/>
        <v>2377</v>
      </c>
    </row>
    <row r="77" spans="2:10" hidden="1" x14ac:dyDescent="0.2">
      <c r="B77" s="44">
        <v>72</v>
      </c>
      <c r="C77" s="45" t="s">
        <v>84</v>
      </c>
      <c r="D77" s="45" t="s">
        <v>103</v>
      </c>
      <c r="E77" s="45" t="s">
        <v>124</v>
      </c>
      <c r="F77" s="45" t="s">
        <v>11</v>
      </c>
      <c r="G77" s="46">
        <v>4.7699999999999996</v>
      </c>
      <c r="H77" s="48">
        <f>G77*'US$'!$B$3</f>
        <v>3841.5194999999999</v>
      </c>
      <c r="I77" s="48">
        <f>VLOOKUP(F77,DESCUENTO!$B$3:$C$9,2,0)*H77</f>
        <v>384.15195</v>
      </c>
      <c r="J77" s="48">
        <f t="shared" si="1"/>
        <v>3457</v>
      </c>
    </row>
    <row r="78" spans="2:10" hidden="1" x14ac:dyDescent="0.2">
      <c r="B78" s="44">
        <v>73</v>
      </c>
      <c r="C78" s="45" t="s">
        <v>85</v>
      </c>
      <c r="D78" s="45" t="s">
        <v>106</v>
      </c>
      <c r="E78" s="45" t="s">
        <v>123</v>
      </c>
      <c r="F78" s="45" t="s">
        <v>10</v>
      </c>
      <c r="G78" s="46">
        <v>4.92</v>
      </c>
      <c r="H78" s="48">
        <f>G78*'US$'!$B$3</f>
        <v>3962.3220000000001</v>
      </c>
      <c r="I78" s="48">
        <f>VLOOKUP(F78,DESCUENTO!$B$3:$C$9,2,0)*H78</f>
        <v>396.23220000000003</v>
      </c>
      <c r="J78" s="48">
        <f t="shared" si="1"/>
        <v>3566</v>
      </c>
    </row>
    <row r="79" spans="2:10" hidden="1" x14ac:dyDescent="0.2">
      <c r="B79" s="44">
        <v>74</v>
      </c>
      <c r="C79" s="45" t="s">
        <v>86</v>
      </c>
      <c r="D79" s="45" t="s">
        <v>93</v>
      </c>
      <c r="E79" s="45" t="s">
        <v>121</v>
      </c>
      <c r="F79" s="45" t="s">
        <v>12</v>
      </c>
      <c r="G79" s="46">
        <v>2.62</v>
      </c>
      <c r="H79" s="48">
        <f>G79*'US$'!$B$3</f>
        <v>2110.0170000000003</v>
      </c>
      <c r="I79" s="48">
        <f>VLOOKUP(F79,DESCUENTO!$B$3:$C$9,2,0)*H79</f>
        <v>42.200340000000004</v>
      </c>
      <c r="J79" s="48">
        <f t="shared" si="1"/>
        <v>2068</v>
      </c>
    </row>
    <row r="80" spans="2:10" hidden="1" x14ac:dyDescent="0.2">
      <c r="B80" s="44">
        <v>75</v>
      </c>
      <c r="C80" s="45" t="s">
        <v>87</v>
      </c>
      <c r="D80" s="45" t="s">
        <v>101</v>
      </c>
      <c r="E80" s="45" t="s">
        <v>119</v>
      </c>
      <c r="F80" s="45" t="s">
        <v>7</v>
      </c>
      <c r="G80" s="46">
        <v>1.46</v>
      </c>
      <c r="H80" s="48">
        <f>G80*'US$'!$B$3</f>
        <v>1175.8109999999999</v>
      </c>
      <c r="I80" s="48">
        <f>VLOOKUP(F80,DESCUENTO!$B$3:$C$9,2,0)*H80</f>
        <v>58.790549999999996</v>
      </c>
      <c r="J80" s="48">
        <f t="shared" si="1"/>
        <v>1117</v>
      </c>
    </row>
    <row r="81" spans="2:10" hidden="1" x14ac:dyDescent="0.2">
      <c r="B81" s="44">
        <v>76</v>
      </c>
      <c r="C81" s="45" t="s">
        <v>88</v>
      </c>
      <c r="D81" s="45" t="s">
        <v>112</v>
      </c>
      <c r="E81" s="45" t="s">
        <v>119</v>
      </c>
      <c r="F81" s="45" t="s">
        <v>8</v>
      </c>
      <c r="G81" s="46">
        <v>1.54</v>
      </c>
      <c r="H81" s="48">
        <f>G81*'US$'!$B$3</f>
        <v>1240.239</v>
      </c>
      <c r="I81" s="48">
        <f>VLOOKUP(F81,DESCUENTO!$B$3:$C$9,2,0)*H81</f>
        <v>99.219120000000004</v>
      </c>
      <c r="J81" s="48">
        <f t="shared" si="1"/>
        <v>1141</v>
      </c>
    </row>
    <row r="82" spans="2:10" hidden="1" x14ac:dyDescent="0.2">
      <c r="B82" s="44">
        <v>77</v>
      </c>
      <c r="C82" s="45" t="s">
        <v>89</v>
      </c>
      <c r="D82" s="45" t="s">
        <v>101</v>
      </c>
      <c r="E82" s="45" t="s">
        <v>120</v>
      </c>
      <c r="F82" s="45" t="s">
        <v>7</v>
      </c>
      <c r="G82" s="46">
        <v>1.48</v>
      </c>
      <c r="H82" s="48">
        <f>G82*'US$'!$B$3</f>
        <v>1191.9180000000001</v>
      </c>
      <c r="I82" s="48">
        <f>VLOOKUP(F82,DESCUENTO!$B$3:$C$9,2,0)*H82</f>
        <v>59.595900000000007</v>
      </c>
      <c r="J82" s="48">
        <f t="shared" si="1"/>
        <v>1132</v>
      </c>
    </row>
    <row r="83" spans="2:10" ht="13.5" thickBot="1" x14ac:dyDescent="0.25"/>
    <row r="84" spans="2:10" ht="13.5" thickBot="1" x14ac:dyDescent="0.25">
      <c r="F84" s="10" t="s">
        <v>131</v>
      </c>
      <c r="G84" s="17"/>
      <c r="H84" s="18"/>
      <c r="I84" s="18"/>
      <c r="J84" s="19"/>
    </row>
  </sheetData>
  <autoFilter ref="B5:J82" xr:uid="{3459D6BE-F836-43C3-B4C0-6C9D35F3CE0D}">
    <filterColumn colId="1">
      <filters>
        <filter val="BARRAS DE PAN DE ESCOCIA"/>
        <filter val="BOLLOS DE PAN DE WIMMER"/>
        <filter val="BOLLOS DE SIR RODNEY'S"/>
        <filter val="BUEY MISHI KOBE"/>
      </filters>
    </filterColumn>
    <filterColumn colId="3">
      <filters>
        <filter val="REPOSTERÍA"/>
      </filters>
    </filterColumn>
  </autoFilter>
  <phoneticPr fontId="0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C9"/>
  <sheetViews>
    <sheetView zoomScale="145" zoomScaleNormal="145" workbookViewId="0">
      <selection activeCell="C8" sqref="C8"/>
    </sheetView>
  </sheetViews>
  <sheetFormatPr baseColWidth="10" defaultRowHeight="12.75" x14ac:dyDescent="0.2"/>
  <cols>
    <col min="2" max="2" width="13.140625" bestFit="1" customWidth="1"/>
  </cols>
  <sheetData>
    <row r="1" spans="2:3" ht="13.5" thickBot="1" x14ac:dyDescent="0.25"/>
    <row r="2" spans="2:3" x14ac:dyDescent="0.2">
      <c r="B2" s="4" t="s">
        <v>5</v>
      </c>
      <c r="C2" s="5" t="s">
        <v>128</v>
      </c>
    </row>
    <row r="3" spans="2:3" x14ac:dyDescent="0.2">
      <c r="B3" s="6" t="s">
        <v>6</v>
      </c>
      <c r="C3" s="8">
        <v>0.03</v>
      </c>
    </row>
    <row r="4" spans="2:3" x14ac:dyDescent="0.2">
      <c r="B4" s="6" t="s">
        <v>7</v>
      </c>
      <c r="C4" s="8">
        <v>0.05</v>
      </c>
    </row>
    <row r="5" spans="2:3" x14ac:dyDescent="0.2">
      <c r="B5" s="6" t="s">
        <v>12</v>
      </c>
      <c r="C5" s="8">
        <v>0.02</v>
      </c>
    </row>
    <row r="6" spans="2:3" x14ac:dyDescent="0.2">
      <c r="B6" s="6" t="s">
        <v>10</v>
      </c>
      <c r="C6" s="8">
        <v>0.1</v>
      </c>
    </row>
    <row r="7" spans="2:3" x14ac:dyDescent="0.2">
      <c r="B7" s="6" t="s">
        <v>9</v>
      </c>
      <c r="C7" s="8">
        <v>7.0000000000000007E-2</v>
      </c>
    </row>
    <row r="8" spans="2:3" x14ac:dyDescent="0.2">
      <c r="B8" s="6" t="s">
        <v>8</v>
      </c>
      <c r="C8" s="8">
        <v>0.08</v>
      </c>
    </row>
    <row r="9" spans="2:3" ht="13.5" thickBot="1" x14ac:dyDescent="0.25">
      <c r="B9" s="7" t="s">
        <v>11</v>
      </c>
      <c r="C9" s="9">
        <v>0.1</v>
      </c>
    </row>
  </sheetData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B3"/>
  <sheetViews>
    <sheetView zoomScale="145" zoomScaleNormal="145" workbookViewId="0">
      <selection activeCell="B3" sqref="B3"/>
    </sheetView>
  </sheetViews>
  <sheetFormatPr baseColWidth="10" defaultRowHeight="12.75" x14ac:dyDescent="0.2"/>
  <sheetData>
    <row r="1" spans="2:2" ht="13.5" thickBot="1" x14ac:dyDescent="0.25"/>
    <row r="2" spans="2:2" x14ac:dyDescent="0.2">
      <c r="B2" s="3" t="s">
        <v>127</v>
      </c>
    </row>
    <row r="3" spans="2:2" ht="13.5" thickBot="1" x14ac:dyDescent="0.25">
      <c r="B3" s="47">
        <v>805.35</v>
      </c>
    </row>
  </sheetData>
  <phoneticPr fontId="0" type="noConversion"/>
  <pageMargins left="0.75" right="0.75" top="1" bottom="1" header="0" footer="0"/>
  <pageSetup paperSize="9" orientation="portrait" horizontalDpi="0" verticalDpi="144" copies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5:G22"/>
  <sheetViews>
    <sheetView showGridLines="0" zoomScaleNormal="100" workbookViewId="0">
      <selection activeCell="C8" sqref="C8"/>
    </sheetView>
  </sheetViews>
  <sheetFormatPr baseColWidth="10" defaultRowHeight="12.75" x14ac:dyDescent="0.2"/>
  <cols>
    <col min="2" max="2" width="26.85546875" bestFit="1" customWidth="1"/>
    <col min="3" max="3" width="23" style="11" bestFit="1" customWidth="1"/>
    <col min="4" max="4" width="14.85546875" customWidth="1"/>
    <col min="5" max="5" width="14.28515625" style="11" bestFit="1" customWidth="1"/>
    <col min="6" max="6" width="16.5703125" bestFit="1" customWidth="1"/>
    <col min="7" max="7" width="13.5703125" customWidth="1"/>
  </cols>
  <sheetData>
    <row r="5" spans="2:7" ht="16.5" thickBot="1" x14ac:dyDescent="0.3">
      <c r="B5" s="39" t="s">
        <v>133</v>
      </c>
      <c r="C5" s="40"/>
      <c r="D5" s="40"/>
      <c r="E5" s="40"/>
      <c r="F5" s="40"/>
      <c r="G5" s="41"/>
    </row>
    <row r="6" spans="2:7" x14ac:dyDescent="0.2">
      <c r="B6" s="20"/>
      <c r="C6" s="12"/>
      <c r="D6" s="13"/>
      <c r="E6" s="12"/>
      <c r="F6" s="13"/>
      <c r="G6" s="21"/>
    </row>
    <row r="7" spans="2:7" x14ac:dyDescent="0.2">
      <c r="B7" s="20"/>
      <c r="C7" s="12"/>
      <c r="D7" s="13"/>
      <c r="E7" s="12"/>
      <c r="F7" s="13"/>
      <c r="G7" s="21"/>
    </row>
    <row r="8" spans="2:7" x14ac:dyDescent="0.2">
      <c r="B8" s="22" t="s">
        <v>0</v>
      </c>
      <c r="C8" s="29">
        <v>1</v>
      </c>
      <c r="D8" s="13"/>
      <c r="E8" s="12"/>
      <c r="F8" s="13"/>
      <c r="G8" s="21"/>
    </row>
    <row r="9" spans="2:7" x14ac:dyDescent="0.2">
      <c r="B9" s="23"/>
      <c r="C9" s="12"/>
      <c r="D9" s="13"/>
      <c r="E9" s="12"/>
      <c r="F9" s="13"/>
      <c r="G9" s="21"/>
    </row>
    <row r="10" spans="2:7" x14ac:dyDescent="0.2">
      <c r="B10" s="22" t="s">
        <v>1</v>
      </c>
      <c r="C10" s="30" t="str">
        <f>VLOOKUP($C$8,PRODUCTOS!$B:$J,2,0)</f>
        <v>TÉ DHARAMSALA</v>
      </c>
      <c r="D10" s="31"/>
      <c r="E10" s="32"/>
      <c r="F10" s="31"/>
      <c r="G10" s="33"/>
    </row>
    <row r="11" spans="2:7" x14ac:dyDescent="0.2">
      <c r="B11" s="23"/>
      <c r="C11" s="12"/>
      <c r="D11" s="13"/>
      <c r="E11" s="12"/>
      <c r="F11" s="13"/>
      <c r="G11" s="21"/>
    </row>
    <row r="12" spans="2:7" x14ac:dyDescent="0.2">
      <c r="B12" s="22" t="s">
        <v>2</v>
      </c>
      <c r="C12" s="30" t="str">
        <f>VLOOKUP($C$8,PRODUCTOS!$B:$J,3,0)</f>
        <v>EXOTIC LIQUIDS</v>
      </c>
      <c r="D12" s="33"/>
      <c r="E12" s="12"/>
      <c r="F12" s="14" t="s">
        <v>3</v>
      </c>
      <c r="G12" s="30" t="str">
        <f>VLOOKUP($C$8,PRODUCTOS!$B:$J,4,0)</f>
        <v>BEBIDAS</v>
      </c>
    </row>
    <row r="13" spans="2:7" x14ac:dyDescent="0.2">
      <c r="B13" s="23"/>
      <c r="C13" s="12"/>
      <c r="D13" s="13"/>
      <c r="E13" s="12"/>
      <c r="F13" s="12"/>
      <c r="G13" s="21"/>
    </row>
    <row r="14" spans="2:7" x14ac:dyDescent="0.2">
      <c r="B14" s="23"/>
      <c r="C14" s="12"/>
      <c r="D14" s="13"/>
      <c r="E14" s="12"/>
      <c r="F14" s="12"/>
      <c r="G14" s="21"/>
    </row>
    <row r="15" spans="2:7" x14ac:dyDescent="0.2">
      <c r="B15" s="22" t="s">
        <v>5</v>
      </c>
      <c r="C15" s="30" t="str">
        <f>VLOOKUP($C$8,PRODUCTOS!$B:$J,5,0)</f>
        <v>KOREA</v>
      </c>
      <c r="D15" s="13"/>
      <c r="E15" s="12"/>
      <c r="F15" s="14" t="s">
        <v>4</v>
      </c>
      <c r="G15" s="35">
        <f>VLOOKUP($C$8,PRODUCTOS!$B:$J,6,0)</f>
        <v>5.23</v>
      </c>
    </row>
    <row r="16" spans="2:7" x14ac:dyDescent="0.2">
      <c r="B16" s="23"/>
      <c r="C16" s="12"/>
      <c r="D16" s="13"/>
      <c r="E16" s="12"/>
      <c r="F16" s="12"/>
      <c r="G16" s="21"/>
    </row>
    <row r="17" spans="2:7" x14ac:dyDescent="0.2">
      <c r="B17" s="23"/>
      <c r="C17" s="12"/>
      <c r="D17" s="13"/>
      <c r="E17" s="12"/>
      <c r="F17" s="12"/>
      <c r="G17" s="21"/>
    </row>
    <row r="18" spans="2:7" x14ac:dyDescent="0.2">
      <c r="B18" s="22" t="s">
        <v>129</v>
      </c>
      <c r="C18" s="36">
        <f>VLOOKUP($C$8,PRODUCTOS!$B:$J,7,0)</f>
        <v>4211.9805000000006</v>
      </c>
      <c r="D18" s="13"/>
      <c r="E18" s="12"/>
      <c r="F18" s="15" t="s">
        <v>132</v>
      </c>
      <c r="G18" s="36">
        <f>VLOOKUP($C$8,PRODUCTOS!$B:$J,8,0)</f>
        <v>126.35941500000001</v>
      </c>
    </row>
    <row r="19" spans="2:7" x14ac:dyDescent="0.2">
      <c r="B19" s="23"/>
      <c r="C19" s="12"/>
      <c r="D19" s="13"/>
      <c r="E19" s="12"/>
      <c r="F19" s="13"/>
      <c r="G19" s="21"/>
    </row>
    <row r="20" spans="2:7" x14ac:dyDescent="0.2">
      <c r="B20" s="23"/>
      <c r="C20" s="12"/>
      <c r="D20" s="13"/>
      <c r="E20" s="12"/>
      <c r="F20" s="13"/>
      <c r="G20" s="21"/>
    </row>
    <row r="21" spans="2:7" x14ac:dyDescent="0.2">
      <c r="B21" s="24" t="s">
        <v>130</v>
      </c>
      <c r="C21" s="36">
        <f>VLOOKUP($C$8,PRODUCTOS!$B:$J,9,0)</f>
        <v>4086</v>
      </c>
      <c r="D21" s="13"/>
      <c r="E21" s="12"/>
      <c r="F21" s="13"/>
      <c r="G21" s="21"/>
    </row>
    <row r="22" spans="2:7" x14ac:dyDescent="0.2">
      <c r="B22" s="25"/>
      <c r="C22" s="26"/>
      <c r="D22" s="27"/>
      <c r="E22" s="26"/>
      <c r="F22" s="27"/>
      <c r="G22" s="28"/>
    </row>
  </sheetData>
  <mergeCells count="1">
    <mergeCell ref="B5:G5"/>
  </mergeCells>
  <phoneticPr fontId="0" type="noConversion"/>
  <dataValidations count="1">
    <dataValidation type="list" allowBlank="1" showInputMessage="1" showErrorMessage="1" sqref="C8" xr:uid="{6CE377F0-D33D-4A5B-A613-28F33F9926D0}">
      <formula1>CODIGO</formula1>
    </dataValidation>
  </dataValidations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D13"/>
  <sheetViews>
    <sheetView showGridLines="0" zoomScale="115" zoomScaleNormal="115" workbookViewId="0">
      <selection activeCell="D19" sqref="D19"/>
    </sheetView>
  </sheetViews>
  <sheetFormatPr baseColWidth="10" defaultRowHeight="12.75" x14ac:dyDescent="0.2"/>
  <cols>
    <col min="2" max="2" width="19.7109375" bestFit="1" customWidth="1"/>
    <col min="3" max="3" width="21" bestFit="1" customWidth="1"/>
    <col min="4" max="4" width="18.42578125" bestFit="1" customWidth="1"/>
    <col min="5" max="5" width="21.5703125" bestFit="1" customWidth="1"/>
    <col min="6" max="6" width="18.42578125" bestFit="1" customWidth="1"/>
    <col min="7" max="7" width="40" bestFit="1" customWidth="1"/>
    <col min="8" max="8" width="18.42578125" bestFit="1" customWidth="1"/>
    <col min="9" max="9" width="23.7109375" bestFit="1" customWidth="1"/>
    <col min="10" max="10" width="18.42578125" bestFit="1" customWidth="1"/>
    <col min="11" max="11" width="21" bestFit="1" customWidth="1"/>
    <col min="12" max="12" width="18.42578125" bestFit="1" customWidth="1"/>
    <col min="13" max="13" width="21" bestFit="1" customWidth="1"/>
    <col min="14" max="14" width="18.42578125" bestFit="1" customWidth="1"/>
    <col min="15" max="15" width="25.42578125" bestFit="1" customWidth="1"/>
    <col min="16" max="16" width="18.42578125" bestFit="1" customWidth="1"/>
    <col min="17" max="17" width="21" bestFit="1" customWidth="1"/>
    <col min="18" max="18" width="18.42578125" bestFit="1" customWidth="1"/>
    <col min="19" max="19" width="21" bestFit="1" customWidth="1"/>
    <col min="20" max="20" width="18.42578125" bestFit="1" customWidth="1"/>
    <col min="21" max="21" width="31.5703125" bestFit="1" customWidth="1"/>
    <col min="22" max="22" width="18.42578125" bestFit="1" customWidth="1"/>
    <col min="23" max="23" width="32" bestFit="1" customWidth="1"/>
    <col min="24" max="24" width="18.42578125" bestFit="1" customWidth="1"/>
    <col min="25" max="25" width="21" bestFit="1" customWidth="1"/>
    <col min="26" max="26" width="18.42578125" bestFit="1" customWidth="1"/>
    <col min="27" max="27" width="21" bestFit="1" customWidth="1"/>
    <col min="28" max="28" width="18.42578125" bestFit="1" customWidth="1"/>
    <col min="29" max="29" width="21" bestFit="1" customWidth="1"/>
    <col min="30" max="30" width="18.42578125" bestFit="1" customWidth="1"/>
    <col min="31" max="31" width="21" bestFit="1" customWidth="1"/>
    <col min="32" max="32" width="18.42578125" bestFit="1" customWidth="1"/>
    <col min="33" max="33" width="21" bestFit="1" customWidth="1"/>
    <col min="34" max="34" width="18.42578125" bestFit="1" customWidth="1"/>
    <col min="35" max="35" width="34.28515625" bestFit="1" customWidth="1"/>
    <col min="36" max="36" width="18.42578125" bestFit="1" customWidth="1"/>
    <col min="37" max="37" width="31.85546875" bestFit="1" customWidth="1"/>
    <col min="38" max="38" width="18.42578125" bestFit="1" customWidth="1"/>
    <col min="39" max="39" width="47.28515625" bestFit="1" customWidth="1"/>
    <col min="40" max="40" width="18.42578125" bestFit="1" customWidth="1"/>
    <col min="41" max="41" width="21" bestFit="1" customWidth="1"/>
    <col min="42" max="42" width="18.42578125" bestFit="1" customWidth="1"/>
    <col min="43" max="43" width="21.42578125" bestFit="1" customWidth="1"/>
    <col min="44" max="44" width="18.42578125" bestFit="1" customWidth="1"/>
    <col min="45" max="45" width="21" bestFit="1" customWidth="1"/>
    <col min="46" max="46" width="18.42578125" bestFit="1" customWidth="1"/>
    <col min="47" max="47" width="21" bestFit="1" customWidth="1"/>
    <col min="48" max="48" width="18.42578125" bestFit="1" customWidth="1"/>
    <col min="49" max="49" width="41.7109375" bestFit="1" customWidth="1"/>
    <col min="50" max="50" width="18.42578125" bestFit="1" customWidth="1"/>
    <col min="51" max="51" width="31" bestFit="1" customWidth="1"/>
    <col min="52" max="52" width="18.42578125" bestFit="1" customWidth="1"/>
    <col min="53" max="53" width="26.140625" bestFit="1" customWidth="1"/>
    <col min="54" max="54" width="18.42578125" bestFit="1" customWidth="1"/>
    <col min="55" max="55" width="21.42578125" bestFit="1" customWidth="1"/>
    <col min="56" max="56" width="18.42578125" bestFit="1" customWidth="1"/>
    <col min="57" max="57" width="21" bestFit="1" customWidth="1"/>
    <col min="58" max="58" width="18.42578125" bestFit="1" customWidth="1"/>
    <col min="59" max="59" width="23.5703125" bestFit="1" customWidth="1"/>
    <col min="60" max="60" width="18.42578125" bestFit="1" customWidth="1"/>
    <col min="61" max="61" width="26.42578125" bestFit="1" customWidth="1"/>
    <col min="62" max="62" width="23.7109375" bestFit="1" customWidth="1"/>
  </cols>
  <sheetData>
    <row r="2" spans="2:4" x14ac:dyDescent="0.2">
      <c r="B2" s="37" t="s">
        <v>2</v>
      </c>
      <c r="C2" t="s">
        <v>140</v>
      </c>
    </row>
    <row r="4" spans="2:4" x14ac:dyDescent="0.2">
      <c r="B4" s="37" t="s">
        <v>136</v>
      </c>
      <c r="C4" t="s">
        <v>138</v>
      </c>
      <c r="D4" t="s">
        <v>139</v>
      </c>
    </row>
    <row r="5" spans="2:4" x14ac:dyDescent="0.2">
      <c r="B5" s="11" t="s">
        <v>119</v>
      </c>
      <c r="C5" s="38">
        <v>49.050000000000004</v>
      </c>
      <c r="D5" s="38">
        <v>34335</v>
      </c>
    </row>
    <row r="6" spans="2:4" x14ac:dyDescent="0.2">
      <c r="B6" s="11" t="s">
        <v>122</v>
      </c>
      <c r="C6" s="38">
        <v>12.33</v>
      </c>
      <c r="D6" s="38">
        <v>8631</v>
      </c>
    </row>
    <row r="7" spans="2:4" x14ac:dyDescent="0.2">
      <c r="B7" s="11" t="s">
        <v>120</v>
      </c>
      <c r="C7" s="38">
        <v>42.129999999999995</v>
      </c>
      <c r="D7" s="38">
        <v>29491</v>
      </c>
    </row>
    <row r="8" spans="2:4" x14ac:dyDescent="0.2">
      <c r="B8" s="11" t="s">
        <v>121</v>
      </c>
      <c r="C8" s="38">
        <v>15.119999999999997</v>
      </c>
      <c r="D8" s="38">
        <v>10584</v>
      </c>
    </row>
    <row r="9" spans="2:4" x14ac:dyDescent="0.2">
      <c r="B9" s="11" t="s">
        <v>126</v>
      </c>
      <c r="C9" s="38">
        <v>34.47</v>
      </c>
      <c r="D9" s="38">
        <v>24129</v>
      </c>
    </row>
    <row r="10" spans="2:4" x14ac:dyDescent="0.2">
      <c r="B10" s="11" t="s">
        <v>124</v>
      </c>
      <c r="C10" s="38">
        <v>42.33</v>
      </c>
      <c r="D10" s="38">
        <v>29631</v>
      </c>
    </row>
    <row r="11" spans="2:4" x14ac:dyDescent="0.2">
      <c r="B11" s="11" t="s">
        <v>123</v>
      </c>
      <c r="C11" s="38">
        <v>43.96</v>
      </c>
      <c r="D11" s="38">
        <v>30772</v>
      </c>
    </row>
    <row r="12" spans="2:4" x14ac:dyDescent="0.2">
      <c r="B12" s="11" t="s">
        <v>125</v>
      </c>
      <c r="C12" s="38">
        <v>102.51999999999998</v>
      </c>
      <c r="D12" s="38">
        <v>71764</v>
      </c>
    </row>
    <row r="13" spans="2:4" x14ac:dyDescent="0.2">
      <c r="B13" s="11" t="s">
        <v>137</v>
      </c>
      <c r="C13" s="38">
        <v>341.90999999999997</v>
      </c>
      <c r="D13" s="38">
        <v>239337</v>
      </c>
    </row>
  </sheetData>
  <phoneticPr fontId="0" type="noConversion"/>
  <pageMargins left="0.75" right="0.75" top="1" bottom="1" header="0" footer="0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4:J8"/>
  <sheetViews>
    <sheetView showGridLines="0" zoomScale="75" workbookViewId="0">
      <selection activeCell="E18" sqref="E18"/>
    </sheetView>
  </sheetViews>
  <sheetFormatPr baseColWidth="10" defaultRowHeight="12.75" x14ac:dyDescent="0.2"/>
  <cols>
    <col min="1" max="1" width="26.85546875" bestFit="1" customWidth="1"/>
    <col min="2" max="2" width="10.42578125" bestFit="1" customWidth="1"/>
    <col min="3" max="3" width="28.7109375" bestFit="1" customWidth="1"/>
    <col min="4" max="4" width="26.28515625" bestFit="1" customWidth="1"/>
    <col min="5" max="5" width="14.42578125" bestFit="1" customWidth="1"/>
    <col min="6" max="6" width="15.7109375" bestFit="1" customWidth="1"/>
    <col min="7" max="7" width="14.85546875" bestFit="1" customWidth="1"/>
    <col min="8" max="8" width="12" bestFit="1" customWidth="1"/>
    <col min="9" max="9" width="16.85546875" bestFit="1" customWidth="1"/>
    <col min="10" max="10" width="13.7109375" bestFit="1" customWidth="1"/>
  </cols>
  <sheetData>
    <row r="4" spans="1:10" x14ac:dyDescent="0.2">
      <c r="A4" s="2"/>
      <c r="B4" s="2"/>
      <c r="C4" s="2"/>
      <c r="D4" s="16"/>
    </row>
    <row r="5" spans="1:10" x14ac:dyDescent="0.2">
      <c r="A5" s="2"/>
      <c r="B5" s="42" t="s">
        <v>0</v>
      </c>
      <c r="C5" s="42" t="s">
        <v>1</v>
      </c>
      <c r="D5" s="42" t="s">
        <v>2</v>
      </c>
      <c r="E5" s="42" t="s">
        <v>3</v>
      </c>
      <c r="F5" s="42" t="s">
        <v>5</v>
      </c>
      <c r="G5" s="42" t="s">
        <v>4</v>
      </c>
      <c r="H5" s="42" t="s">
        <v>129</v>
      </c>
      <c r="I5" s="43" t="s">
        <v>134</v>
      </c>
      <c r="J5" s="43" t="s">
        <v>135</v>
      </c>
    </row>
    <row r="6" spans="1:10" x14ac:dyDescent="0.2">
      <c r="A6" s="2"/>
      <c r="B6" s="44">
        <v>21</v>
      </c>
      <c r="C6" s="45" t="s">
        <v>33</v>
      </c>
      <c r="D6" s="45" t="s">
        <v>97</v>
      </c>
      <c r="E6" s="45" t="s">
        <v>125</v>
      </c>
      <c r="F6" s="45" t="s">
        <v>8</v>
      </c>
      <c r="G6" s="46">
        <v>4</v>
      </c>
      <c r="H6" s="48">
        <v>3221.4</v>
      </c>
      <c r="I6" s="48">
        <v>257.71199999999999</v>
      </c>
      <c r="J6" s="48">
        <v>2964</v>
      </c>
    </row>
    <row r="7" spans="1:10" x14ac:dyDescent="0.2">
      <c r="A7" s="2"/>
      <c r="B7" s="44">
        <v>68</v>
      </c>
      <c r="C7" s="45" t="s">
        <v>80</v>
      </c>
      <c r="D7" s="45" t="s">
        <v>97</v>
      </c>
      <c r="E7" s="45" t="s">
        <v>125</v>
      </c>
      <c r="F7" s="45" t="s">
        <v>8</v>
      </c>
      <c r="G7" s="46">
        <v>19.04</v>
      </c>
      <c r="H7" s="48">
        <v>15333.864</v>
      </c>
      <c r="I7" s="48">
        <v>1226.70912</v>
      </c>
      <c r="J7" s="48">
        <v>14107</v>
      </c>
    </row>
    <row r="8" spans="1:10" x14ac:dyDescent="0.2">
      <c r="A8" s="2"/>
      <c r="B8" s="2"/>
      <c r="C8" s="2"/>
      <c r="D8" s="16"/>
    </row>
  </sheetData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PRODUCTOS</vt:lpstr>
      <vt:lpstr>DESCUENTO</vt:lpstr>
      <vt:lpstr>US$</vt:lpstr>
      <vt:lpstr>CONSULTA</vt:lpstr>
      <vt:lpstr>RESUMEN</vt:lpstr>
      <vt:lpstr>INFORME</vt:lpstr>
      <vt:lpstr>DESCUENTO!Área_de_extracción</vt:lpstr>
      <vt:lpstr>CODIGO</vt:lpstr>
    </vt:vector>
  </TitlesOfParts>
  <Company>C.F.T. LAPLACE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C.F.T. LAPLACE</dc:creator>
  <cp:lastModifiedBy>Pedro Vidal J</cp:lastModifiedBy>
  <dcterms:created xsi:type="dcterms:W3CDTF">1999-04-29T13:52:06Z</dcterms:created>
  <dcterms:modified xsi:type="dcterms:W3CDTF">2020-10-03T02:16:34Z</dcterms:modified>
</cp:coreProperties>
</file>